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16695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R6" i="1" l="1"/>
  <c r="T6" i="1" l="1"/>
  <c r="N19" i="1"/>
  <c r="R7" i="1"/>
  <c r="K14" i="1"/>
  <c r="E42" i="1" l="1"/>
  <c r="E41" i="1"/>
  <c r="E40" i="1"/>
  <c r="E39" i="1"/>
  <c r="E38" i="1"/>
  <c r="E37" i="1"/>
  <c r="E36" i="1"/>
  <c r="E35" i="1"/>
  <c r="E34" i="1"/>
  <c r="E33" i="1"/>
  <c r="E32" i="1"/>
  <c r="P18" i="1"/>
  <c r="P17" i="1"/>
  <c r="P16" i="1"/>
  <c r="P15" i="1"/>
  <c r="O5" i="1"/>
  <c r="O6" i="1" s="1"/>
  <c r="O9" i="1" s="1"/>
  <c r="O10" i="1" s="1"/>
  <c r="G20" i="1"/>
  <c r="G21" i="1" s="1"/>
  <c r="C27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C19" i="1"/>
  <c r="P19" i="1" l="1"/>
  <c r="G22" i="1"/>
  <c r="C28" i="1"/>
  <c r="O11" i="1" l="1"/>
  <c r="P10" i="1"/>
  <c r="G23" i="1"/>
  <c r="C4" i="1"/>
  <c r="C5" i="1" s="1"/>
  <c r="H10" i="1" l="1"/>
  <c r="H11" i="1" s="1"/>
  <c r="H13" i="1" s="1"/>
  <c r="G24" i="1"/>
  <c r="H14" i="1" l="1"/>
  <c r="C12" i="1" s="1"/>
  <c r="G25" i="1"/>
  <c r="H20" i="1" l="1"/>
  <c r="H22" i="1"/>
  <c r="C21" i="1"/>
  <c r="H24" i="1"/>
  <c r="H23" i="1"/>
  <c r="H19" i="1"/>
  <c r="H21" i="1"/>
  <c r="H25" i="1"/>
  <c r="G26" i="1"/>
  <c r="H26" i="1" s="1"/>
  <c r="G27" i="1" l="1"/>
  <c r="H27" i="1" s="1"/>
  <c r="G28" i="1" l="1"/>
  <c r="H28" i="1" s="1"/>
  <c r="G29" i="1" l="1"/>
  <c r="H29" i="1" s="1"/>
  <c r="G30" i="1" l="1"/>
  <c r="H30" i="1" s="1"/>
  <c r="G31" i="1" l="1"/>
  <c r="H31" i="1" s="1"/>
  <c r="G32" i="1" l="1"/>
  <c r="H32" i="1" s="1"/>
  <c r="G33" i="1" l="1"/>
  <c r="H33" i="1" s="1"/>
  <c r="G34" i="1" l="1"/>
  <c r="H34" i="1" s="1"/>
  <c r="G35" i="1" l="1"/>
  <c r="H35" i="1" s="1"/>
  <c r="G36" i="1" l="1"/>
  <c r="H36" i="1" s="1"/>
  <c r="G37" i="1" l="1"/>
  <c r="H37" i="1" s="1"/>
  <c r="G38" i="1" l="1"/>
  <c r="H38" i="1" s="1"/>
</calcChain>
</file>

<file path=xl/comments1.xml><?xml version="1.0" encoding="utf-8"?>
<comments xmlns="http://schemas.openxmlformats.org/spreadsheetml/2006/main">
  <authors>
    <author>Matt Moran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determines how much of the heat exchnage volume is put through the individual RHSA (.78=all volume through 1 RHSA, .195 = volume split between all four RHSAs (nominal))
 </t>
        </r>
      </text>
    </comment>
  </commentList>
</comments>
</file>

<file path=xl/sharedStrings.xml><?xml version="1.0" encoding="utf-8"?>
<sst xmlns="http://schemas.openxmlformats.org/spreadsheetml/2006/main" count="99" uniqueCount="72">
  <si>
    <t>Heat Transfer Rate (from Primary Interface)</t>
  </si>
  <si>
    <t>Surface Area:</t>
  </si>
  <si>
    <t>Transfer Coefficient:</t>
  </si>
  <si>
    <t>Incoming Temp:</t>
  </si>
  <si>
    <t>Incoming Temp</t>
  </si>
  <si>
    <t>Volume:</t>
  </si>
  <si>
    <t>Flow Rate:</t>
  </si>
  <si>
    <t>Transfer Rate:</t>
  </si>
  <si>
    <t>Convert to Watts</t>
  </si>
  <si>
    <t>degC</t>
  </si>
  <si>
    <t>W</t>
  </si>
  <si>
    <t>m3</t>
  </si>
  <si>
    <t>Convert to volume</t>
  </si>
  <si>
    <t>w/m3</t>
  </si>
  <si>
    <t>Watts transferred</t>
  </si>
  <si>
    <t>Degrees</t>
  </si>
  <si>
    <t xml:space="preserve"> </t>
  </si>
  <si>
    <t>m2</t>
  </si>
  <si>
    <t>(Vol change per tick)</t>
  </si>
  <si>
    <t>Flow compensated</t>
  </si>
  <si>
    <t>Delta</t>
  </si>
  <si>
    <t>W/m2C</t>
  </si>
  <si>
    <t>Outgoing Temp:</t>
  </si>
  <si>
    <t>Heat Transfer Rate (from RISM)</t>
  </si>
  <si>
    <t>TRT</t>
  </si>
  <si>
    <t>Convert to degC</t>
  </si>
  <si>
    <t>Wm2</t>
  </si>
  <si>
    <t>Output from Reactor</t>
  </si>
  <si>
    <t>Transfer co-efficient</t>
  </si>
  <si>
    <t>Coolant Pressure</t>
  </si>
  <si>
    <t>Water Volume</t>
  </si>
  <si>
    <t>Pump pressure</t>
  </si>
  <si>
    <t>Boiling Point</t>
  </si>
  <si>
    <t>W ==============&gt;</t>
  </si>
  <si>
    <t>Kpa</t>
  </si>
  <si>
    <t>Loop Volume</t>
  </si>
  <si>
    <t>KPa</t>
  </si>
  <si>
    <t>Pressure Mod</t>
  </si>
  <si>
    <t>Boiling Point at Pressure</t>
  </si>
  <si>
    <t>Output</t>
  </si>
  <si>
    <t>Step</t>
  </si>
  <si>
    <t>Outgoing Temp</t>
  </si>
  <si>
    <t>Environmental</t>
  </si>
  <si>
    <t>minus 270degC deep space</t>
  </si>
  <si>
    <t>150degC facing Sun, -200degC away</t>
  </si>
  <si>
    <t>Surface Area</t>
  </si>
  <si>
    <t>RHSA (per unit)</t>
  </si>
  <si>
    <t>Transfer Co-efficient</t>
  </si>
  <si>
    <t>Flow Rate</t>
  </si>
  <si>
    <t>Volume</t>
  </si>
  <si>
    <t>Transfer Rate</t>
  </si>
  <si>
    <t>Average Output from 4 RHSA (erxample)</t>
  </si>
  <si>
    <t>RHSA1</t>
  </si>
  <si>
    <t>Outgoing</t>
  </si>
  <si>
    <t>Avg</t>
  </si>
  <si>
    <t>Average</t>
  </si>
  <si>
    <t>this is Secondary Loop Input</t>
  </si>
  <si>
    <t>RHSA2</t>
  </si>
  <si>
    <t>RHSA3</t>
  </si>
  <si>
    <t>RHSA4</t>
  </si>
  <si>
    <t>Pumps</t>
  </si>
  <si>
    <t>Input</t>
  </si>
  <si>
    <t>Flow Const</t>
  </si>
  <si>
    <t>Flow mod</t>
  </si>
  <si>
    <t>Flow</t>
  </si>
  <si>
    <t>Mod</t>
  </si>
  <si>
    <t>No RHSAs</t>
  </si>
  <si>
    <t>Secondary Loop Exchanger</t>
  </si>
  <si>
    <t>Response Profile</t>
  </si>
  <si>
    <t>Steam Pressure</t>
  </si>
  <si>
    <t>Pump Step:</t>
  </si>
  <si>
    <t>5 power units = Flowrate 1/50KPa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</si>
</sst>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</cellStyleXfs>
  <cellXfs count="15">
    <xf numFmtId="0" fontId="0" fillId="0" borderId="0" xfId="0"/>
    <xf numFmtId="2" fontId="3" fillId="0" borderId="1" xfId="3" applyNumberFormat="1" applyProtection="1">
      <protection locked="0"/>
    </xf>
    <xf numFmtId="0" fontId="3" fillId="0" borderId="1" xfId="3" applyProtection="1">
      <protection locked="0"/>
    </xf>
    <xf numFmtId="164" fontId="3" fillId="0" borderId="1" xfId="1" applyNumberFormat="1" applyFont="1" applyBorder="1" applyProtection="1">
      <protection locked="0"/>
    </xf>
    <xf numFmtId="0" fontId="4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1" fontId="0" fillId="0" borderId="0" xfId="0" applyNumberFormat="1" applyProtection="1"/>
    <xf numFmtId="0" fontId="0" fillId="0" borderId="0" xfId="0" applyFill="1" applyProtection="1"/>
    <xf numFmtId="0" fontId="2" fillId="2" borderId="0" xfId="2" applyProtection="1"/>
    <xf numFmtId="164" fontId="2" fillId="2" borderId="0" xfId="2" applyNumberFormat="1" applyProtection="1"/>
    <xf numFmtId="43" fontId="0" fillId="0" borderId="0" xfId="1" applyFont="1" applyProtection="1"/>
    <xf numFmtId="2" fontId="2" fillId="2" borderId="0" xfId="2" applyNumberFormat="1" applyProtection="1"/>
    <xf numFmtId="43" fontId="0" fillId="0" borderId="0" xfId="0" applyNumberFormat="1" applyProtection="1"/>
    <xf numFmtId="43" fontId="2" fillId="2" borderId="0" xfId="2" applyNumberFormat="1" applyProtection="1"/>
  </cellXfs>
  <cellStyles count="4">
    <cellStyle name="Comma" xfId="1" builtinId="3"/>
    <cellStyle name="Good" xfId="2" builtinId="26"/>
    <cellStyle name="Linked Cell" xfId="3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Primary Loop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Sheet1!$G$19:$G$38</c:f>
              <c:numCache>
                <c:formatCode>General</c:formatCode>
                <c:ptCount val="20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</c:numCache>
            </c:numRef>
          </c:cat>
          <c:val>
            <c:numRef>
              <c:f>Sheet1!$H$19:$H$38</c:f>
              <c:numCache>
                <c:formatCode>General</c:formatCode>
                <c:ptCount val="20"/>
                <c:pt idx="0">
                  <c:v>116.19184386761206</c:v>
                </c:pt>
                <c:pt idx="1">
                  <c:v>136.66216386761207</c:v>
                </c:pt>
                <c:pt idx="2">
                  <c:v>157.13248386761205</c:v>
                </c:pt>
                <c:pt idx="3">
                  <c:v>177.60280386761207</c:v>
                </c:pt>
                <c:pt idx="4">
                  <c:v>198.07312386761208</c:v>
                </c:pt>
                <c:pt idx="5">
                  <c:v>218.54344386761207</c:v>
                </c:pt>
                <c:pt idx="6">
                  <c:v>239.01376386761206</c:v>
                </c:pt>
                <c:pt idx="7">
                  <c:v>259.48408386761207</c:v>
                </c:pt>
                <c:pt idx="8">
                  <c:v>279.95440386761209</c:v>
                </c:pt>
                <c:pt idx="9">
                  <c:v>300.4247238676121</c:v>
                </c:pt>
                <c:pt idx="10">
                  <c:v>320.89504386761212</c:v>
                </c:pt>
                <c:pt idx="11">
                  <c:v>341.36536386761202</c:v>
                </c:pt>
                <c:pt idx="12">
                  <c:v>361.83568386761203</c:v>
                </c:pt>
                <c:pt idx="13">
                  <c:v>382.30600386761205</c:v>
                </c:pt>
                <c:pt idx="14">
                  <c:v>402.77632386761206</c:v>
                </c:pt>
                <c:pt idx="15">
                  <c:v>423.24664386761208</c:v>
                </c:pt>
                <c:pt idx="16">
                  <c:v>443.71696386761209</c:v>
                </c:pt>
                <c:pt idx="17">
                  <c:v>464.18728386761211</c:v>
                </c:pt>
                <c:pt idx="18">
                  <c:v>484.65760386761212</c:v>
                </c:pt>
                <c:pt idx="19">
                  <c:v>505.12792386761203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6-4F91-B47C-1E0619BC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323791"/>
        <c:axId val="2048413855"/>
      </c:lineChart>
      <c:catAx>
        <c:axId val="1856323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TRT (KWm2)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413855"/>
        <c:crosses val="autoZero"/>
        <c:auto val="1"/>
        <c:lblAlgn val="ctr"/>
        <c:lblOffset val="100"/>
        <c:noMultiLvlLbl val="0"/>
      </c:catAx>
      <c:valAx>
        <c:axId val="204841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Coolant</a:t>
                </a:r>
                <a:r>
                  <a:rPr lang="en-AU" baseline="0"/>
                  <a:t> Temp Out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32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21</xdr:row>
      <xdr:rowOff>171450</xdr:rowOff>
    </xdr:from>
    <xdr:to>
      <xdr:col>16</xdr:col>
      <xdr:colOff>0</xdr:colOff>
      <xdr:row>36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53F251-B4AF-48AA-B6A0-047417CBD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activeCell="O8" sqref="O8"/>
    </sheetView>
  </sheetViews>
  <sheetFormatPr defaultRowHeight="15" x14ac:dyDescent="0.25"/>
  <cols>
    <col min="1" max="1" width="9.140625" style="5"/>
    <col min="2" max="2" width="10.28515625" style="5" customWidth="1"/>
    <col min="3" max="3" width="14.28515625" style="5" bestFit="1" customWidth="1"/>
    <col min="4" max="5" width="9.140625" style="5"/>
    <col min="6" max="6" width="12.7109375" style="5" customWidth="1"/>
    <col min="7" max="7" width="9.140625" style="5"/>
    <col min="8" max="8" width="10.42578125" style="5" customWidth="1"/>
    <col min="9" max="9" width="9.140625" style="5"/>
    <col min="10" max="10" width="11.140625" style="5" customWidth="1"/>
    <col min="11" max="14" width="9.140625" style="5"/>
    <col min="15" max="15" width="12" style="5" bestFit="1" customWidth="1"/>
    <col min="16" max="16384" width="9.140625" style="5"/>
  </cols>
  <sheetData>
    <row r="1" spans="1:20" x14ac:dyDescent="0.25">
      <c r="A1" s="4" t="s">
        <v>0</v>
      </c>
      <c r="H1" s="4" t="s">
        <v>67</v>
      </c>
      <c r="M1" s="4" t="s">
        <v>46</v>
      </c>
      <c r="Q1" s="5" t="s">
        <v>44</v>
      </c>
    </row>
    <row r="2" spans="1:20" x14ac:dyDescent="0.25">
      <c r="Q2" s="5" t="s">
        <v>43</v>
      </c>
    </row>
    <row r="3" spans="1:20" ht="15.75" thickBot="1" x14ac:dyDescent="0.3">
      <c r="A3" s="5" t="s">
        <v>3</v>
      </c>
      <c r="C3" s="1">
        <v>300</v>
      </c>
      <c r="D3" s="5" t="s">
        <v>9</v>
      </c>
      <c r="H3" s="5" t="s">
        <v>3</v>
      </c>
      <c r="J3" s="2">
        <v>28.5</v>
      </c>
      <c r="K3" s="5" t="s">
        <v>9</v>
      </c>
      <c r="M3" s="5" t="s">
        <v>4</v>
      </c>
      <c r="O3" s="2">
        <v>235</v>
      </c>
      <c r="P3" s="5" t="s">
        <v>9</v>
      </c>
    </row>
    <row r="4" spans="1:20" ht="16.5" thickTop="1" thickBot="1" x14ac:dyDescent="0.3">
      <c r="A4" s="5" t="s">
        <v>20</v>
      </c>
      <c r="C4" s="6">
        <f>C3-J3</f>
        <v>271.5</v>
      </c>
      <c r="M4" s="5" t="s">
        <v>42</v>
      </c>
      <c r="O4" s="2">
        <v>-200</v>
      </c>
      <c r="P4" s="5" t="s">
        <v>9</v>
      </c>
    </row>
    <row r="5" spans="1:20" ht="16.5" thickTop="1" thickBot="1" x14ac:dyDescent="0.3">
      <c r="A5" s="5" t="s">
        <v>8</v>
      </c>
      <c r="C5" s="7">
        <f>C4/0.03159</f>
        <v>8594.4919278252619</v>
      </c>
      <c r="D5" s="5" t="s">
        <v>10</v>
      </c>
      <c r="H5" s="8" t="s">
        <v>70</v>
      </c>
      <c r="I5" s="5" t="s">
        <v>71</v>
      </c>
      <c r="M5" s="5" t="s">
        <v>20</v>
      </c>
      <c r="O5" s="5">
        <f>O3-O4</f>
        <v>435</v>
      </c>
      <c r="P5" s="5" t="s">
        <v>9</v>
      </c>
      <c r="Q5" s="5" t="s">
        <v>66</v>
      </c>
      <c r="R5" s="2">
        <v>4</v>
      </c>
    </row>
    <row r="6" spans="1:20" ht="16.5" thickTop="1" thickBot="1" x14ac:dyDescent="0.3">
      <c r="A6" s="5" t="s">
        <v>2</v>
      </c>
      <c r="C6" s="2">
        <v>22</v>
      </c>
      <c r="D6" s="5" t="s">
        <v>21</v>
      </c>
      <c r="M6" s="5" t="s">
        <v>8</v>
      </c>
      <c r="O6" s="7">
        <f>O5/0.03159</f>
        <v>13770.180436847104</v>
      </c>
      <c r="P6" s="5" t="s">
        <v>10</v>
      </c>
      <c r="Q6" s="5" t="s">
        <v>49</v>
      </c>
      <c r="R6" s="5">
        <f>$I$7/R5</f>
        <v>0.19500000000000001</v>
      </c>
      <c r="S6" s="5" t="s">
        <v>65</v>
      </c>
      <c r="T6" s="5">
        <f>(0.39-R6)*2</f>
        <v>0.39</v>
      </c>
    </row>
    <row r="7" spans="1:20" ht="16.5" thickTop="1" thickBot="1" x14ac:dyDescent="0.3">
      <c r="A7" s="5" t="s">
        <v>1</v>
      </c>
      <c r="C7" s="5">
        <v>481</v>
      </c>
      <c r="D7" s="5" t="s">
        <v>17</v>
      </c>
      <c r="H7" s="5" t="s">
        <v>5</v>
      </c>
      <c r="I7" s="2">
        <v>0.78</v>
      </c>
      <c r="J7" s="5" t="s">
        <v>11</v>
      </c>
      <c r="M7" s="5" t="s">
        <v>45</v>
      </c>
      <c r="O7" s="5">
        <v>40</v>
      </c>
      <c r="P7" s="5" t="s">
        <v>17</v>
      </c>
      <c r="Q7" s="5" t="s">
        <v>48</v>
      </c>
      <c r="R7" s="5">
        <f>$I$8/(I7/R6)</f>
        <v>0.25</v>
      </c>
      <c r="S7" s="5" t="s">
        <v>62</v>
      </c>
      <c r="T7" s="5">
        <v>0.57999999999999996</v>
      </c>
    </row>
    <row r="8" spans="1:20" ht="16.5" thickTop="1" thickBot="1" x14ac:dyDescent="0.3">
      <c r="H8" s="5" t="s">
        <v>6</v>
      </c>
      <c r="I8" s="2">
        <v>1</v>
      </c>
      <c r="J8" s="5" t="s">
        <v>18</v>
      </c>
      <c r="M8" s="5" t="s">
        <v>47</v>
      </c>
      <c r="O8" s="2">
        <v>1.4999999999999999E-2</v>
      </c>
      <c r="P8" s="5" t="s">
        <v>21</v>
      </c>
    </row>
    <row r="9" spans="1:20" ht="15.75" thickTop="1" x14ac:dyDescent="0.25">
      <c r="M9" s="5" t="s">
        <v>50</v>
      </c>
      <c r="O9" s="7">
        <f>O6*O7*O8</f>
        <v>8262.1082621082605</v>
      </c>
      <c r="R9" s="5" t="s">
        <v>16</v>
      </c>
    </row>
    <row r="10" spans="1:20" x14ac:dyDescent="0.25">
      <c r="A10" s="9" t="s">
        <v>7</v>
      </c>
      <c r="B10" s="9"/>
      <c r="C10" s="10">
        <f>C5*C7*C6</f>
        <v>90946913.580246925</v>
      </c>
      <c r="D10" s="5" t="s">
        <v>33</v>
      </c>
      <c r="F10" s="5" t="s">
        <v>12</v>
      </c>
      <c r="H10" s="7">
        <f>POWER(C10,(1/2))</f>
        <v>9536.6091238053232</v>
      </c>
      <c r="I10" s="5" t="s">
        <v>13</v>
      </c>
      <c r="M10" s="5" t="s">
        <v>19</v>
      </c>
      <c r="O10" s="7">
        <f>O9*(1-((1-(R7+T6))*T7))</f>
        <v>6536.9800569800555</v>
      </c>
      <c r="P10" s="5">
        <f>O10*0.03159</f>
        <v>206.50319999999996</v>
      </c>
    </row>
    <row r="11" spans="1:20" x14ac:dyDescent="0.25">
      <c r="C11" s="11"/>
      <c r="F11" s="5" t="s">
        <v>14</v>
      </c>
      <c r="H11" s="7">
        <f>H10*I7</f>
        <v>7438.5551165681527</v>
      </c>
      <c r="M11" s="9" t="s">
        <v>41</v>
      </c>
      <c r="N11" s="9"/>
      <c r="O11" s="9">
        <f>O3-(O10*0.03159)</f>
        <v>28.496800000000036</v>
      </c>
      <c r="P11" s="9" t="s">
        <v>9</v>
      </c>
      <c r="Q11" s="5" t="s">
        <v>16</v>
      </c>
    </row>
    <row r="12" spans="1:20" x14ac:dyDescent="0.25">
      <c r="A12" s="5" t="s">
        <v>22</v>
      </c>
      <c r="C12" s="6">
        <f>C3-H14</f>
        <v>65.016043867612069</v>
      </c>
    </row>
    <row r="13" spans="1:20" ht="15.75" thickBot="1" x14ac:dyDescent="0.3">
      <c r="F13" s="5" t="s">
        <v>19</v>
      </c>
      <c r="H13" s="7">
        <f>H11*(1+((1-I8-(0.78-$I$7))*K14))</f>
        <v>7438.5551165681527</v>
      </c>
      <c r="J13" s="5" t="s">
        <v>62</v>
      </c>
      <c r="K13" s="2">
        <v>0.6</v>
      </c>
      <c r="M13" s="4" t="s">
        <v>51</v>
      </c>
    </row>
    <row r="14" spans="1:20" ht="15.75" thickTop="1" x14ac:dyDescent="0.25">
      <c r="F14" s="9" t="s">
        <v>15</v>
      </c>
      <c r="G14" s="9"/>
      <c r="H14" s="12">
        <f>H13*0.03159</f>
        <v>234.98395613238793</v>
      </c>
      <c r="J14" s="5" t="s">
        <v>63</v>
      </c>
      <c r="K14" s="5">
        <f>K13*(I8/4)</f>
        <v>0.15</v>
      </c>
      <c r="N14" s="5" t="s">
        <v>48</v>
      </c>
      <c r="O14" s="5" t="s">
        <v>53</v>
      </c>
      <c r="P14" s="5" t="s">
        <v>54</v>
      </c>
      <c r="Q14" s="5" t="s">
        <v>16</v>
      </c>
    </row>
    <row r="15" spans="1:20" x14ac:dyDescent="0.25">
      <c r="F15" s="5" t="s">
        <v>69</v>
      </c>
      <c r="M15" s="5" t="s">
        <v>52</v>
      </c>
      <c r="N15" s="5">
        <v>0.6</v>
      </c>
      <c r="O15" s="5">
        <v>20</v>
      </c>
      <c r="P15" s="5">
        <f>(4*N15)*O15</f>
        <v>48</v>
      </c>
    </row>
    <row r="16" spans="1:20" x14ac:dyDescent="0.25">
      <c r="M16" s="5" t="s">
        <v>57</v>
      </c>
      <c r="N16" s="5">
        <v>0.4</v>
      </c>
      <c r="O16" s="5">
        <v>20</v>
      </c>
      <c r="P16" s="5">
        <f t="shared" ref="P16:P18" si="0">(4*N16)*O16</f>
        <v>32</v>
      </c>
    </row>
    <row r="17" spans="1:17" x14ac:dyDescent="0.25">
      <c r="A17" s="4" t="s">
        <v>23</v>
      </c>
      <c r="F17" s="4" t="s">
        <v>68</v>
      </c>
      <c r="M17" s="5" t="s">
        <v>58</v>
      </c>
      <c r="N17" s="5">
        <v>0</v>
      </c>
      <c r="O17" s="5">
        <v>30</v>
      </c>
      <c r="P17" s="5">
        <f t="shared" si="0"/>
        <v>0</v>
      </c>
    </row>
    <row r="18" spans="1:17" ht="15.75" thickBot="1" x14ac:dyDescent="0.3">
      <c r="A18" s="5" t="s">
        <v>24</v>
      </c>
      <c r="C18" s="3">
        <v>47000</v>
      </c>
      <c r="D18" s="5" t="s">
        <v>26</v>
      </c>
      <c r="F18" s="5" t="s">
        <v>40</v>
      </c>
      <c r="G18" s="5" t="s">
        <v>24</v>
      </c>
      <c r="H18" s="5" t="s">
        <v>39</v>
      </c>
      <c r="M18" s="5" t="s">
        <v>59</v>
      </c>
      <c r="N18" s="5">
        <v>0</v>
      </c>
      <c r="O18" s="5">
        <v>20</v>
      </c>
      <c r="P18" s="5">
        <f t="shared" si="0"/>
        <v>0</v>
      </c>
    </row>
    <row r="19" spans="1:17" ht="15.75" thickTop="1" x14ac:dyDescent="0.25">
      <c r="A19" s="5" t="s">
        <v>25</v>
      </c>
      <c r="C19" s="13">
        <f>C18*0.03159</f>
        <v>1484.73</v>
      </c>
      <c r="D19" s="5" t="s">
        <v>9</v>
      </c>
      <c r="F19" s="5">
        <v>4</v>
      </c>
      <c r="G19" s="5">
        <v>10</v>
      </c>
      <c r="H19" s="5">
        <f>(((G19*1000)*0.03159)*$C$20)+$C$12</f>
        <v>116.19184386761206</v>
      </c>
      <c r="M19" s="5" t="s">
        <v>64</v>
      </c>
      <c r="N19" s="5">
        <f>SUM(N15:N18)</f>
        <v>1</v>
      </c>
      <c r="O19" s="9" t="s">
        <v>55</v>
      </c>
      <c r="P19" s="9">
        <f>SUM(P15:P18)/4</f>
        <v>20</v>
      </c>
      <c r="Q19" s="5" t="s">
        <v>56</v>
      </c>
    </row>
    <row r="20" spans="1:17" ht="15.75" thickBot="1" x14ac:dyDescent="0.3">
      <c r="A20" s="5" t="s">
        <v>28</v>
      </c>
      <c r="C20" s="2">
        <v>0.16200000000000001</v>
      </c>
      <c r="D20" s="5" t="s">
        <v>16</v>
      </c>
      <c r="G20" s="5">
        <f>G19+$F$19</f>
        <v>14</v>
      </c>
      <c r="H20" s="5">
        <f t="shared" ref="H20:H38" si="1">(((G20*1000)*0.03159)*$C$20)+$C$12</f>
        <v>136.66216386761207</v>
      </c>
    </row>
    <row r="21" spans="1:17" ht="15.75" thickTop="1" x14ac:dyDescent="0.25">
      <c r="A21" s="9" t="s">
        <v>27</v>
      </c>
      <c r="B21" s="9"/>
      <c r="C21" s="14">
        <f>($C$19*$C$20)+$C$12</f>
        <v>305.54230386761208</v>
      </c>
      <c r="D21" s="9" t="s">
        <v>9</v>
      </c>
      <c r="G21" s="5">
        <f t="shared" ref="G21:G38" si="2">G20+$F$19</f>
        <v>18</v>
      </c>
      <c r="H21" s="5">
        <f t="shared" si="1"/>
        <v>157.13248386761205</v>
      </c>
    </row>
    <row r="22" spans="1:17" x14ac:dyDescent="0.25">
      <c r="G22" s="5">
        <f t="shared" si="2"/>
        <v>22</v>
      </c>
      <c r="H22" s="5">
        <f t="shared" si="1"/>
        <v>177.60280386761207</v>
      </c>
    </row>
    <row r="23" spans="1:17" x14ac:dyDescent="0.25">
      <c r="A23" s="4" t="s">
        <v>29</v>
      </c>
      <c r="G23" s="5">
        <f t="shared" si="2"/>
        <v>26</v>
      </c>
      <c r="H23" s="5">
        <f t="shared" si="1"/>
        <v>198.07312386761208</v>
      </c>
      <c r="J23" s="5" t="s">
        <v>16</v>
      </c>
    </row>
    <row r="24" spans="1:17" ht="15.75" thickBot="1" x14ac:dyDescent="0.3">
      <c r="A24" s="5" t="s">
        <v>30</v>
      </c>
      <c r="C24" s="2">
        <v>10</v>
      </c>
      <c r="G24" s="5">
        <f t="shared" si="2"/>
        <v>30</v>
      </c>
      <c r="H24" s="5">
        <f t="shared" si="1"/>
        <v>218.54344386761207</v>
      </c>
    </row>
    <row r="25" spans="1:17" ht="15.75" thickTop="1" x14ac:dyDescent="0.25">
      <c r="A25" s="5" t="s">
        <v>35</v>
      </c>
      <c r="C25" s="5">
        <v>10</v>
      </c>
      <c r="E25" s="5" t="s">
        <v>37</v>
      </c>
      <c r="G25" s="5">
        <f t="shared" si="2"/>
        <v>34</v>
      </c>
      <c r="H25" s="5">
        <f t="shared" si="1"/>
        <v>239.01376386761206</v>
      </c>
    </row>
    <row r="26" spans="1:17" ht="15.75" thickBot="1" x14ac:dyDescent="0.3">
      <c r="A26" s="5" t="s">
        <v>31</v>
      </c>
      <c r="C26" s="2">
        <v>15500</v>
      </c>
      <c r="D26" s="5" t="s">
        <v>34</v>
      </c>
      <c r="E26" s="2">
        <v>4650</v>
      </c>
      <c r="G26" s="5">
        <f t="shared" si="2"/>
        <v>38</v>
      </c>
      <c r="H26" s="5">
        <f t="shared" si="1"/>
        <v>259.48408386761207</v>
      </c>
    </row>
    <row r="27" spans="1:17" ht="15.75" thickTop="1" x14ac:dyDescent="0.25">
      <c r="A27" s="5" t="s">
        <v>29</v>
      </c>
      <c r="C27" s="5">
        <f>(C26-((C25-C24)*E26))</f>
        <v>15500</v>
      </c>
      <c r="D27" s="5" t="s">
        <v>36</v>
      </c>
      <c r="G27" s="5">
        <f t="shared" si="2"/>
        <v>42</v>
      </c>
      <c r="H27" s="5">
        <f t="shared" si="1"/>
        <v>279.95440386761209</v>
      </c>
    </row>
    <row r="28" spans="1:17" x14ac:dyDescent="0.25">
      <c r="A28" s="9" t="s">
        <v>32</v>
      </c>
      <c r="B28" s="9"/>
      <c r="C28" s="12">
        <f>(1730.63/(8.07131-LOG((C27*7.5),10)))-233.426</f>
        <v>342.31510591531907</v>
      </c>
      <c r="D28" s="9" t="s">
        <v>9</v>
      </c>
      <c r="G28" s="5">
        <f t="shared" si="2"/>
        <v>46</v>
      </c>
      <c r="H28" s="5">
        <f t="shared" si="1"/>
        <v>300.4247238676121</v>
      </c>
    </row>
    <row r="29" spans="1:17" x14ac:dyDescent="0.25">
      <c r="G29" s="5">
        <f t="shared" si="2"/>
        <v>50</v>
      </c>
      <c r="H29" s="5">
        <f t="shared" si="1"/>
        <v>320.89504386761212</v>
      </c>
    </row>
    <row r="30" spans="1:17" x14ac:dyDescent="0.25">
      <c r="A30" s="4" t="s">
        <v>38</v>
      </c>
      <c r="D30" s="4" t="s">
        <v>60</v>
      </c>
      <c r="G30" s="5">
        <f t="shared" si="2"/>
        <v>54</v>
      </c>
      <c r="H30" s="5">
        <f t="shared" si="1"/>
        <v>341.36536386761202</v>
      </c>
    </row>
    <row r="31" spans="1:17" x14ac:dyDescent="0.25">
      <c r="A31" s="5" t="s">
        <v>9</v>
      </c>
      <c r="B31" s="5" t="s">
        <v>36</v>
      </c>
      <c r="D31" s="5" t="s">
        <v>61</v>
      </c>
      <c r="E31" s="5" t="s">
        <v>39</v>
      </c>
      <c r="G31" s="5">
        <f t="shared" si="2"/>
        <v>58</v>
      </c>
      <c r="H31" s="5">
        <f t="shared" si="1"/>
        <v>361.83568386761203</v>
      </c>
    </row>
    <row r="32" spans="1:17" x14ac:dyDescent="0.25">
      <c r="A32" s="5">
        <f t="shared" ref="A32:A45" si="3">(1730.63/(8.07131-LOG((B32*7.5),10)))-233.426</f>
        <v>7.0645754849813613</v>
      </c>
      <c r="B32" s="5">
        <v>1</v>
      </c>
      <c r="D32" s="5">
        <v>0</v>
      </c>
      <c r="E32" s="5">
        <f>D32*$F$37</f>
        <v>0</v>
      </c>
      <c r="G32" s="5">
        <f t="shared" si="2"/>
        <v>62</v>
      </c>
      <c r="H32" s="5">
        <f t="shared" si="1"/>
        <v>382.30600386761205</v>
      </c>
    </row>
    <row r="33" spans="1:8" x14ac:dyDescent="0.25">
      <c r="A33" s="5">
        <f t="shared" si="3"/>
        <v>45.87686106417857</v>
      </c>
      <c r="B33" s="5">
        <v>10</v>
      </c>
      <c r="D33" s="5">
        <v>1</v>
      </c>
      <c r="E33" s="5">
        <f t="shared" ref="E33:E42" si="4">D33*$F$37</f>
        <v>3100</v>
      </c>
      <c r="G33" s="5">
        <f t="shared" si="2"/>
        <v>66</v>
      </c>
      <c r="H33" s="5">
        <f t="shared" si="1"/>
        <v>402.77632386761206</v>
      </c>
    </row>
    <row r="34" spans="1:8" x14ac:dyDescent="0.25">
      <c r="A34" s="5">
        <f t="shared" si="3"/>
        <v>81.389763268501781</v>
      </c>
      <c r="B34" s="5">
        <v>50</v>
      </c>
      <c r="D34" s="5">
        <v>2</v>
      </c>
      <c r="E34" s="5">
        <f t="shared" si="4"/>
        <v>6200</v>
      </c>
      <c r="G34" s="5">
        <f t="shared" si="2"/>
        <v>70</v>
      </c>
      <c r="H34" s="5">
        <f t="shared" si="1"/>
        <v>423.24664386761208</v>
      </c>
    </row>
    <row r="35" spans="1:8" x14ac:dyDescent="0.25">
      <c r="A35" s="5">
        <f t="shared" si="3"/>
        <v>99.627725432246791</v>
      </c>
      <c r="B35" s="5">
        <v>100</v>
      </c>
      <c r="D35" s="5">
        <v>3</v>
      </c>
      <c r="E35" s="5">
        <f t="shared" si="4"/>
        <v>9300</v>
      </c>
      <c r="G35" s="5">
        <f t="shared" si="2"/>
        <v>74</v>
      </c>
      <c r="H35" s="5">
        <f t="shared" si="1"/>
        <v>443.71696386761209</v>
      </c>
    </row>
    <row r="36" spans="1:8" x14ac:dyDescent="0.25">
      <c r="A36" s="5">
        <f t="shared" si="3"/>
        <v>120.10876352849363</v>
      </c>
      <c r="B36" s="5">
        <v>200</v>
      </c>
      <c r="D36" s="5">
        <v>4</v>
      </c>
      <c r="E36" s="5">
        <f t="shared" si="4"/>
        <v>12400</v>
      </c>
      <c r="F36" s="5" t="s">
        <v>40</v>
      </c>
      <c r="G36" s="5">
        <f t="shared" si="2"/>
        <v>78</v>
      </c>
      <c r="H36" s="5">
        <f t="shared" si="1"/>
        <v>464.18728386761211</v>
      </c>
    </row>
    <row r="37" spans="1:8" x14ac:dyDescent="0.25">
      <c r="A37" s="5">
        <f t="shared" si="3"/>
        <v>133.30068976244445</v>
      </c>
      <c r="B37" s="5">
        <v>300</v>
      </c>
      <c r="D37" s="5">
        <v>5</v>
      </c>
      <c r="E37" s="5">
        <f t="shared" si="4"/>
        <v>15500</v>
      </c>
      <c r="F37" s="5">
        <v>3100</v>
      </c>
      <c r="G37" s="5">
        <f t="shared" si="2"/>
        <v>82</v>
      </c>
      <c r="H37" s="5">
        <f t="shared" si="1"/>
        <v>484.65760386761212</v>
      </c>
    </row>
    <row r="38" spans="1:8" x14ac:dyDescent="0.25">
      <c r="A38" s="5">
        <f t="shared" si="3"/>
        <v>143.27380402479014</v>
      </c>
      <c r="B38" s="5">
        <v>400</v>
      </c>
      <c r="D38" s="5">
        <v>6</v>
      </c>
      <c r="E38" s="5">
        <f t="shared" si="4"/>
        <v>18600</v>
      </c>
      <c r="G38" s="5">
        <f t="shared" si="2"/>
        <v>86</v>
      </c>
      <c r="H38" s="5">
        <f t="shared" si="1"/>
        <v>505.12792386761203</v>
      </c>
    </row>
    <row r="39" spans="1:8" x14ac:dyDescent="0.25">
      <c r="A39" s="5">
        <f t="shared" si="3"/>
        <v>151.39115344460919</v>
      </c>
      <c r="B39" s="5">
        <v>500</v>
      </c>
      <c r="D39" s="5">
        <v>7</v>
      </c>
      <c r="E39" s="5">
        <f t="shared" si="4"/>
        <v>21700</v>
      </c>
    </row>
    <row r="40" spans="1:8" x14ac:dyDescent="0.25">
      <c r="A40" s="5">
        <f t="shared" si="3"/>
        <v>178.99712089411923</v>
      </c>
      <c r="B40" s="5">
        <v>1000</v>
      </c>
      <c r="D40" s="5">
        <v>8</v>
      </c>
      <c r="E40" s="5">
        <f t="shared" si="4"/>
        <v>24800</v>
      </c>
    </row>
    <row r="41" spans="1:8" x14ac:dyDescent="0.25">
      <c r="A41" s="5">
        <f t="shared" si="3"/>
        <v>261.42446302716633</v>
      </c>
      <c r="B41" s="5">
        <v>5000</v>
      </c>
      <c r="D41" s="5">
        <v>9</v>
      </c>
      <c r="E41" s="5">
        <f t="shared" si="4"/>
        <v>27900</v>
      </c>
    </row>
    <row r="42" spans="1:8" x14ac:dyDescent="0.25">
      <c r="A42" s="5">
        <f t="shared" si="3"/>
        <v>308.03060823520826</v>
      </c>
      <c r="B42" s="5">
        <v>10000</v>
      </c>
      <c r="D42" s="5">
        <v>10</v>
      </c>
      <c r="E42" s="5">
        <f t="shared" si="4"/>
        <v>31000</v>
      </c>
    </row>
    <row r="43" spans="1:8" x14ac:dyDescent="0.25">
      <c r="A43" s="5">
        <f t="shared" si="3"/>
        <v>342.31510591531907</v>
      </c>
      <c r="B43" s="5">
        <v>15500</v>
      </c>
    </row>
    <row r="44" spans="1:8" x14ac:dyDescent="0.25">
      <c r="A44" s="5">
        <f t="shared" si="3"/>
        <v>352.59043529122476</v>
      </c>
      <c r="B44" s="5">
        <v>17500</v>
      </c>
    </row>
    <row r="45" spans="1:8" x14ac:dyDescent="0.25">
      <c r="A45" s="5">
        <f t="shared" si="3"/>
        <v>364.32848933282622</v>
      </c>
      <c r="B45" s="5">
        <v>20000</v>
      </c>
    </row>
  </sheetData>
  <sheetProtection algorithmName="SHA-512" hashValue="2DSLI3kXEV1yapdVcWecq5Y4Vh/Y83tU92lIBCeQEB+eeINuLB4olugTMlZECezdVffcvJqnwglaUSqeXrK6iA==" saltValue="NzDr4HOkppaVUzfAcxoipg==" spinCount="100000" sheet="1" objects="1" scenarios="1" selectLockedCells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2017-06-29T04:47:46Z</dcterms:created>
  <dcterms:modified xsi:type="dcterms:W3CDTF">2017-07-10T13:17:52Z</dcterms:modified>
</cp:coreProperties>
</file>