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m\Dropbox\isdc\simulator\NavMan\"/>
    </mc:Choice>
  </mc:AlternateContent>
  <bookViews>
    <workbookView xWindow="0" yWindow="0" windowWidth="8160" windowHeight="6525" xr2:uid="{1C55A6E1-DA2E-4020-A61F-F0AF47DEABD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Q10" i="1"/>
  <c r="P7" i="1" l="1"/>
  <c r="D13" i="1" l="1"/>
  <c r="G11" i="1" s="1"/>
  <c r="D11" i="1"/>
  <c r="B15" i="1" s="1"/>
  <c r="E64" i="1"/>
  <c r="F64" i="1" s="1"/>
  <c r="D9" i="1" l="1"/>
  <c r="B13" i="1" s="1"/>
  <c r="G13" i="1" s="1"/>
  <c r="D10" i="1"/>
  <c r="B14" i="1" s="1"/>
  <c r="G14" i="1" s="1"/>
  <c r="D52" i="1" l="1"/>
  <c r="E52" i="1" s="1"/>
  <c r="F52" i="1" s="1"/>
  <c r="D53" i="1" l="1"/>
  <c r="I6" i="1"/>
  <c r="E46" i="1"/>
  <c r="D46" i="1" s="1"/>
  <c r="E25" i="1"/>
  <c r="D25" i="1" s="1"/>
  <c r="D54" i="1" l="1"/>
  <c r="E53" i="1"/>
  <c r="F53" i="1" s="1"/>
  <c r="G46" i="1"/>
  <c r="H46" i="1" s="1"/>
  <c r="I46" i="1" s="1"/>
  <c r="K46" i="1" s="1"/>
  <c r="F26" i="1"/>
  <c r="E26" i="1" s="1"/>
  <c r="D26" i="1" s="1"/>
  <c r="N10" i="1"/>
  <c r="Q4" i="1"/>
  <c r="D55" i="1" l="1"/>
  <c r="E54" i="1"/>
  <c r="F54" i="1" s="1"/>
  <c r="G25" i="1"/>
  <c r="H25" i="1" s="1"/>
  <c r="D56" i="1" l="1"/>
  <c r="E55" i="1"/>
  <c r="F55" i="1" s="1"/>
  <c r="N19" i="1"/>
  <c r="N15" i="1"/>
  <c r="N6" i="1"/>
  <c r="N4" i="1"/>
  <c r="N13" i="1"/>
  <c r="N5" i="1"/>
  <c r="N14" i="1"/>
  <c r="D57" i="1" l="1"/>
  <c r="E56" i="1"/>
  <c r="F56" i="1" s="1"/>
  <c r="Q11" i="1"/>
  <c r="R10" i="1" s="1"/>
  <c r="Q16" i="1"/>
  <c r="Q7" i="1"/>
  <c r="N7" i="1"/>
  <c r="O4" i="1"/>
  <c r="O13" i="1"/>
  <c r="N16" i="1"/>
  <c r="D14" i="1"/>
  <c r="D58" i="1" l="1"/>
  <c r="E57" i="1"/>
  <c r="F57" i="1" s="1"/>
  <c r="O7" i="1"/>
  <c r="R7" i="1" s="1"/>
  <c r="N8" i="1" s="1"/>
  <c r="O16" i="1"/>
  <c r="P16" i="1" s="1"/>
  <c r="R16" i="1" s="1"/>
  <c r="D59" i="1" l="1"/>
  <c r="E58" i="1"/>
  <c r="F58" i="1" s="1"/>
  <c r="O8" i="1"/>
  <c r="N9" i="1" s="1"/>
  <c r="N11" i="1" s="1"/>
  <c r="N17" i="1"/>
  <c r="O17" i="1" s="1"/>
  <c r="N18" i="1" s="1"/>
  <c r="N20" i="1" s="1"/>
  <c r="E59" i="1" l="1"/>
  <c r="F59" i="1" s="1"/>
  <c r="D60" i="1"/>
  <c r="F27" i="1"/>
  <c r="E27" i="1" s="1"/>
  <c r="D27" i="1" s="1"/>
  <c r="D61" i="1" l="1"/>
  <c r="E60" i="1"/>
  <c r="F60" i="1" s="1"/>
  <c r="G26" i="1"/>
  <c r="H26" i="1" s="1"/>
  <c r="I26" i="1" s="1"/>
  <c r="E61" i="1" l="1"/>
  <c r="F61" i="1" s="1"/>
  <c r="D62" i="1"/>
  <c r="K26" i="1"/>
  <c r="I25" i="1"/>
  <c r="K25" i="1" s="1"/>
  <c r="G27" i="1"/>
  <c r="H27" i="1" s="1"/>
  <c r="I27" i="1" s="1"/>
  <c r="K27" i="1" s="1"/>
  <c r="F28" i="1"/>
  <c r="E28" i="1" s="1"/>
  <c r="D28" i="1" s="1"/>
  <c r="E62" i="1" l="1"/>
  <c r="F62" i="1" s="1"/>
  <c r="D63" i="1"/>
  <c r="E63" i="1" s="1"/>
  <c r="F63" i="1" s="1"/>
  <c r="F29" i="1"/>
  <c r="E29" i="1" s="1"/>
  <c r="D29" i="1" s="1"/>
  <c r="G28" i="1"/>
  <c r="H28" i="1" s="1"/>
  <c r="I28" i="1" s="1"/>
  <c r="K28" i="1" s="1"/>
  <c r="F30" i="1" l="1"/>
  <c r="E30" i="1" s="1"/>
  <c r="D30" i="1" s="1"/>
  <c r="G29" i="1"/>
  <c r="H29" i="1" s="1"/>
  <c r="I29" i="1" s="1"/>
  <c r="K29" i="1" s="1"/>
  <c r="F31" i="1" l="1"/>
  <c r="E31" i="1" s="1"/>
  <c r="D31" i="1" s="1"/>
  <c r="G30" i="1"/>
  <c r="H30" i="1" s="1"/>
  <c r="I30" i="1" s="1"/>
  <c r="K30" i="1" s="1"/>
  <c r="G31" i="1" l="1"/>
  <c r="H31" i="1" s="1"/>
  <c r="I31" i="1" s="1"/>
  <c r="K31" i="1" s="1"/>
  <c r="F32" i="1"/>
  <c r="E32" i="1" s="1"/>
  <c r="D32" i="1" s="1"/>
  <c r="G32" i="1" l="1"/>
  <c r="H32" i="1" s="1"/>
  <c r="I32" i="1" s="1"/>
  <c r="K32" i="1" s="1"/>
  <c r="F33" i="1"/>
  <c r="E33" i="1" s="1"/>
  <c r="D33" i="1" s="1"/>
  <c r="G33" i="1" l="1"/>
  <c r="H33" i="1" s="1"/>
  <c r="I33" i="1" s="1"/>
  <c r="K33" i="1" s="1"/>
  <c r="F34" i="1"/>
  <c r="E34" i="1" s="1"/>
  <c r="D34" i="1" s="1"/>
  <c r="G34" i="1" l="1"/>
  <c r="H34" i="1" s="1"/>
  <c r="I34" i="1" s="1"/>
  <c r="K34" i="1" s="1"/>
  <c r="F35" i="1"/>
  <c r="E35" i="1" s="1"/>
  <c r="D35" i="1" l="1"/>
  <c r="G7" i="1"/>
  <c r="F36" i="1"/>
  <c r="E36" i="1" s="1"/>
  <c r="D36" i="1" s="1"/>
  <c r="G35" i="1"/>
  <c r="H35" i="1" s="1"/>
  <c r="I35" i="1" s="1"/>
  <c r="K35" i="1" s="1"/>
  <c r="G36" i="1" l="1"/>
  <c r="H36" i="1" s="1"/>
  <c r="I36" i="1" s="1"/>
  <c r="K36" i="1" s="1"/>
  <c r="F37" i="1"/>
  <c r="E37" i="1" s="1"/>
  <c r="D37" i="1" s="1"/>
  <c r="F38" i="1" l="1"/>
  <c r="E38" i="1" s="1"/>
  <c r="D38" i="1" s="1"/>
  <c r="G37" i="1"/>
  <c r="H37" i="1" s="1"/>
  <c r="I37" i="1" s="1"/>
  <c r="K37" i="1" s="1"/>
  <c r="F39" i="1" l="1"/>
  <c r="E39" i="1" s="1"/>
  <c r="D39" i="1" s="1"/>
  <c r="G38" i="1"/>
  <c r="H38" i="1" s="1"/>
  <c r="I38" i="1" s="1"/>
  <c r="K38" i="1" s="1"/>
  <c r="G39" i="1" l="1"/>
  <c r="H39" i="1" s="1"/>
  <c r="I39" i="1" s="1"/>
  <c r="K39" i="1" s="1"/>
  <c r="F40" i="1"/>
  <c r="E40" i="1" s="1"/>
  <c r="D40" i="1" s="1"/>
  <c r="G40" i="1" l="1"/>
  <c r="H40" i="1" s="1"/>
  <c r="I40" i="1" s="1"/>
  <c r="K40" i="1" s="1"/>
  <c r="F41" i="1"/>
  <c r="E41" i="1" s="1"/>
  <c r="D41" i="1" s="1"/>
  <c r="G41" i="1" l="1"/>
  <c r="H41" i="1" s="1"/>
  <c r="I41" i="1" s="1"/>
  <c r="K41" i="1" s="1"/>
  <c r="F42" i="1"/>
  <c r="E42" i="1" s="1"/>
  <c r="D42" i="1" s="1"/>
  <c r="G42" i="1" l="1"/>
  <c r="H42" i="1" s="1"/>
  <c r="I42" i="1" s="1"/>
  <c r="K42" i="1" s="1"/>
  <c r="F43" i="1"/>
  <c r="E43" i="1" s="1"/>
  <c r="D43" i="1" s="1"/>
  <c r="F44" i="1" l="1"/>
  <c r="E44" i="1" s="1"/>
  <c r="D44" i="1" s="1"/>
  <c r="G43" i="1"/>
  <c r="H43" i="1" s="1"/>
  <c r="I43" i="1" s="1"/>
  <c r="K43" i="1" s="1"/>
  <c r="G44" i="1" l="1"/>
  <c r="H44" i="1" s="1"/>
  <c r="I44" i="1" s="1"/>
  <c r="K44" i="1" s="1"/>
  <c r="F45" i="1"/>
  <c r="G45" i="1" l="1"/>
  <c r="H45" i="1" s="1"/>
  <c r="I45" i="1" s="1"/>
  <c r="K45" i="1" s="1"/>
  <c r="E45" i="1"/>
  <c r="D45" i="1" s="1"/>
</calcChain>
</file>

<file path=xl/sharedStrings.xml><?xml version="1.0" encoding="utf-8"?>
<sst xmlns="http://schemas.openxmlformats.org/spreadsheetml/2006/main" count="125" uniqueCount="74">
  <si>
    <t>Navigation System Modelling</t>
  </si>
  <si>
    <t>Curr Pos</t>
  </si>
  <si>
    <t>X</t>
  </si>
  <si>
    <t>Y</t>
  </si>
  <si>
    <t>Z</t>
  </si>
  <si>
    <t>Bearing</t>
  </si>
  <si>
    <t>Vector</t>
  </si>
  <si>
    <t>New Pos</t>
  </si>
  <si>
    <t>New Heading</t>
  </si>
  <si>
    <t>Curr Heading</t>
  </si>
  <si>
    <t>Light Speed</t>
  </si>
  <si>
    <t>Max Speed</t>
  </si>
  <si>
    <t>TOE Radius</t>
  </si>
  <si>
    <t>Grid Size</t>
  </si>
  <si>
    <t>km/s</t>
  </si>
  <si>
    <t>Transit Time</t>
  </si>
  <si>
    <t>secs</t>
  </si>
  <si>
    <t>c</t>
  </si>
  <si>
    <t>grids</t>
  </si>
  <si>
    <t>Grids/sec</t>
  </si>
  <si>
    <t>Speed</t>
  </si>
  <si>
    <t>Drive Maneuver</t>
  </si>
  <si>
    <t>Helm Maneuver</t>
  </si>
  <si>
    <t>Heading</t>
  </si>
  <si>
    <t>System Heading</t>
  </si>
  <si>
    <t>Sys Heading</t>
  </si>
  <si>
    <t>TSMO</t>
  </si>
  <si>
    <t xml:space="preserve"> </t>
  </si>
  <si>
    <t>X Diff</t>
  </si>
  <si>
    <t>Y Diff</t>
  </si>
  <si>
    <t>Z Diff</t>
  </si>
  <si>
    <t>Raw Bearing</t>
  </si>
  <si>
    <t>Dir. Bearing</t>
  </si>
  <si>
    <t>Facing Plane</t>
  </si>
  <si>
    <t>Vector Correctn</t>
  </si>
  <si>
    <t>Orient To</t>
  </si>
  <si>
    <t>Orient From</t>
  </si>
  <si>
    <t>X Corr</t>
  </si>
  <si>
    <t>Y Corr</t>
  </si>
  <si>
    <t>Abeam Corr</t>
  </si>
  <si>
    <t>Range</t>
  </si>
  <si>
    <t>Corr for reverse</t>
  </si>
  <si>
    <t>Step</t>
  </si>
  <si>
    <t>Mod</t>
  </si>
  <si>
    <t>Accel</t>
  </si>
  <si>
    <t>Curr. Speed</t>
  </si>
  <si>
    <t>Log</t>
  </si>
  <si>
    <t>Invers</t>
  </si>
  <si>
    <t>(Base)</t>
  </si>
  <si>
    <t>Mass Co-Eff</t>
  </si>
  <si>
    <r>
      <t>.C or Cx10</t>
    </r>
    <r>
      <rPr>
        <vertAlign val="superscript"/>
        <sz val="11"/>
        <color theme="1"/>
        <rFont val="Calibri"/>
        <family val="2"/>
        <scheme val="minor"/>
      </rPr>
      <t>-2</t>
    </r>
  </si>
  <si>
    <t>Spd Fact</t>
  </si>
  <si>
    <t>KM/sec</t>
  </si>
  <si>
    <t>Scale</t>
  </si>
  <si>
    <t>at .5 Impulse</t>
  </si>
  <si>
    <t>anything below 1 grid/sec is multiplied by the value for 1 grid/sec</t>
  </si>
  <si>
    <t>Reverse</t>
  </si>
  <si>
    <t>Rev Mod</t>
  </si>
  <si>
    <t>KM</t>
  </si>
  <si>
    <t>Power</t>
  </si>
  <si>
    <t>Width</t>
  </si>
  <si>
    <t>Centre</t>
  </si>
  <si>
    <t>Unmod</t>
  </si>
  <si>
    <t>Impulse Response Profile</t>
  </si>
  <si>
    <t>Thrust GN</t>
  </si>
  <si>
    <t>Acceleration Added by 1 GN Thrust</t>
  </si>
  <si>
    <t>Stress</t>
  </si>
  <si>
    <t>Maneuver</t>
  </si>
  <si>
    <t>Grid Shift</t>
  </si>
  <si>
    <t>Velocity</t>
  </si>
  <si>
    <t>New X</t>
  </si>
  <si>
    <t>New Y</t>
  </si>
  <si>
    <t>grids/sec</t>
  </si>
  <si>
    <t>G's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</si>
</sst>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0" fillId="0" borderId="0" xfId="0" applyNumberFormat="1"/>
    <xf numFmtId="0" fontId="1" fillId="2" borderId="0" xfId="1"/>
    <xf numFmtId="164" fontId="1" fillId="2" borderId="0" xfId="1" applyNumberFormat="1"/>
    <xf numFmtId="0" fontId="4" fillId="2" borderId="0" xfId="1" applyFont="1"/>
    <xf numFmtId="0" fontId="6" fillId="0" borderId="0" xfId="4"/>
    <xf numFmtId="0" fontId="7" fillId="0" borderId="0" xfId="0" applyFont="1"/>
    <xf numFmtId="43" fontId="0" fillId="0" borderId="0" xfId="3" applyFont="1"/>
    <xf numFmtId="0" fontId="0" fillId="0" borderId="0" xfId="0" applyProtection="1"/>
    <xf numFmtId="0" fontId="0" fillId="0" borderId="0" xfId="0" applyAlignment="1">
      <alignment horizontal="right"/>
    </xf>
    <xf numFmtId="0" fontId="2" fillId="0" borderId="1" xfId="2" applyProtection="1">
      <protection locked="0"/>
    </xf>
  </cellXfs>
  <cellStyles count="5">
    <cellStyle name="Comma" xfId="3" builtinId="3"/>
    <cellStyle name="Explanatory Text" xfId="4" builtinId="53"/>
    <cellStyle name="Good" xfId="1" builtinId="26"/>
    <cellStyle name="Linked Cell" xfId="2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Acceleration Response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1"/>
          <c:tx>
            <c:v>Acceleration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Sheet1!$F$26:$F$45</c:f>
              <c:numCache>
                <c:formatCode>General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</c:numCache>
            </c:numRef>
          </c:cat>
          <c:val>
            <c:numRef>
              <c:f>Sheet1!$I$26:$I$45</c:f>
              <c:numCache>
                <c:formatCode>General</c:formatCode>
                <c:ptCount val="20"/>
                <c:pt idx="0">
                  <c:v>33.245600729902783</c:v>
                </c:pt>
                <c:pt idx="1">
                  <c:v>25.553293037595093</c:v>
                </c:pt>
                <c:pt idx="2">
                  <c:v>21.053581493586201</c:v>
                </c:pt>
                <c:pt idx="3">
                  <c:v>17.8609853452874</c:v>
                </c:pt>
                <c:pt idx="4">
                  <c:v>15.384615384615383</c:v>
                </c:pt>
                <c:pt idx="5">
                  <c:v>13.361273801278507</c:v>
                </c:pt>
                <c:pt idx="6">
                  <c:v>11.650562867921218</c:v>
                </c:pt>
                <c:pt idx="7">
                  <c:v>10.168677652979712</c:v>
                </c:pt>
                <c:pt idx="8">
                  <c:v>8.8615622572696147</c:v>
                </c:pt>
                <c:pt idx="9">
                  <c:v>7.6923076923076934</c:v>
                </c:pt>
                <c:pt idx="10">
                  <c:v>6.6345882788466559</c:v>
                </c:pt>
                <c:pt idx="11">
                  <c:v>5.6689661089708165</c:v>
                </c:pt>
                <c:pt idx="12">
                  <c:v>4.7806798211251555</c:v>
                </c:pt>
                <c:pt idx="13">
                  <c:v>3.958255175613524</c:v>
                </c:pt>
                <c:pt idx="14">
                  <c:v>3.1925961482987968</c:v>
                </c:pt>
                <c:pt idx="15">
                  <c:v>2.4763699606720158</c:v>
                </c:pt>
                <c:pt idx="16">
                  <c:v>1.8035788741309433</c:v>
                </c:pt>
                <c:pt idx="17">
                  <c:v>1.1692545649619199</c:v>
                </c:pt>
                <c:pt idx="18">
                  <c:v>0.56923524187520314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5-4A0E-9E65-87A7C2BA2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356815"/>
        <c:axId val="757157967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v>Acceleration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Sheet1!$F$26:$F$45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0.1</c:v>
                      </c:pt>
                      <c:pt idx="1">
                        <c:v>0.2</c:v>
                      </c:pt>
                      <c:pt idx="2">
                        <c:v>0.30000000000000004</c:v>
                      </c:pt>
                      <c:pt idx="3">
                        <c:v>0.4</c:v>
                      </c:pt>
                      <c:pt idx="4">
                        <c:v>0.5</c:v>
                      </c:pt>
                      <c:pt idx="5">
                        <c:v>0.6</c:v>
                      </c:pt>
                      <c:pt idx="6">
                        <c:v>0.7</c:v>
                      </c:pt>
                      <c:pt idx="7">
                        <c:v>0.79999999999999993</c:v>
                      </c:pt>
                      <c:pt idx="8">
                        <c:v>0.89999999999999991</c:v>
                      </c:pt>
                      <c:pt idx="9">
                        <c:v>0.99999999999999989</c:v>
                      </c:pt>
                      <c:pt idx="10">
                        <c:v>1.0999999999999999</c:v>
                      </c:pt>
                      <c:pt idx="11">
                        <c:v>1.2</c:v>
                      </c:pt>
                      <c:pt idx="12">
                        <c:v>1.3</c:v>
                      </c:pt>
                      <c:pt idx="13">
                        <c:v>1.4000000000000001</c:v>
                      </c:pt>
                      <c:pt idx="14">
                        <c:v>1.5000000000000002</c:v>
                      </c:pt>
                      <c:pt idx="15">
                        <c:v>1.6000000000000003</c:v>
                      </c:pt>
                      <c:pt idx="16">
                        <c:v>1.7000000000000004</c:v>
                      </c:pt>
                      <c:pt idx="17">
                        <c:v>1.8000000000000005</c:v>
                      </c:pt>
                      <c:pt idx="18">
                        <c:v>1.9000000000000006</c:v>
                      </c:pt>
                      <c:pt idx="19">
                        <c:v>2.0000000000000004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Sheet1!$H$25:$H$45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7.6438561897747244</c:v>
                      </c:pt>
                      <c:pt idx="1">
                        <c:v>4.3219280948873617</c:v>
                      </c:pt>
                      <c:pt idx="2">
                        <c:v>3.3219280948873622</c:v>
                      </c:pt>
                      <c:pt idx="3">
                        <c:v>2.7369655941662061</c:v>
                      </c:pt>
                      <c:pt idx="4">
                        <c:v>2.3219280948873622</c:v>
                      </c:pt>
                      <c:pt idx="5">
                        <c:v>2</c:v>
                      </c:pt>
                      <c:pt idx="6">
                        <c:v>1.7369655941662061</c:v>
                      </c:pt>
                      <c:pt idx="7">
                        <c:v>1.5145731728297585</c:v>
                      </c:pt>
                      <c:pt idx="8">
                        <c:v>1.3219280948873626</c:v>
                      </c:pt>
                      <c:pt idx="9">
                        <c:v>1.15200309344505</c:v>
                      </c:pt>
                      <c:pt idx="10">
                        <c:v>1.0000000000000002</c:v>
                      </c:pt>
                      <c:pt idx="11">
                        <c:v>0.86249647625006531</c:v>
                      </c:pt>
                      <c:pt idx="12">
                        <c:v>0.73696559416620622</c:v>
                      </c:pt>
                      <c:pt idx="13">
                        <c:v>0.62148837674627022</c:v>
                      </c:pt>
                      <c:pt idx="14">
                        <c:v>0.51457317282975812</c:v>
                      </c:pt>
                      <c:pt idx="15">
                        <c:v>0.41503749927884359</c:v>
                      </c:pt>
                      <c:pt idx="16">
                        <c:v>0.32192809488736207</c:v>
                      </c:pt>
                      <c:pt idx="17">
                        <c:v>0.23446525363702264</c:v>
                      </c:pt>
                      <c:pt idx="18">
                        <c:v>0.15200309344504959</c:v>
                      </c:pt>
                      <c:pt idx="19">
                        <c:v>7.4000581443776414E-2</c:v>
                      </c:pt>
                      <c:pt idx="2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925-4A0E-9E65-87A7C2BA2451}"/>
                  </c:ext>
                </c:extLst>
              </c15:ser>
            </c15:filteredLineSeries>
          </c:ext>
        </c:extLst>
      </c:lineChart>
      <c:catAx>
        <c:axId val="408356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Vessel</a:t>
                </a:r>
                <a:r>
                  <a:rPr lang="en-AU" baseline="0"/>
                  <a:t> Speed .C</a:t>
                </a:r>
                <a:endParaRPr lang="en-AU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157967"/>
        <c:crosses val="autoZero"/>
        <c:auto val="1"/>
        <c:lblAlgn val="ctr"/>
        <c:lblOffset val="100"/>
        <c:noMultiLvlLbl val="0"/>
      </c:catAx>
      <c:valAx>
        <c:axId val="75715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Acceleration</a:t>
                </a:r>
                <a:r>
                  <a:rPr lang="en-AU" baseline="0"/>
                  <a:t> per GN</a:t>
                </a:r>
                <a:br>
                  <a:rPr lang="en-AU" baseline="0"/>
                </a:br>
                <a:r>
                  <a:rPr lang="en-AU" baseline="0"/>
                  <a:t>KM/sec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6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Impulse</a:t>
            </a:r>
            <a:r>
              <a:rPr lang="en-AU" baseline="0"/>
              <a:t> Response Profile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Sheet1!$F$52:$F$63</c:f>
              <c:numCache>
                <c:formatCode>General</c:formatCode>
                <c:ptCount val="12"/>
                <c:pt idx="0">
                  <c:v>0.72870762442754256</c:v>
                </c:pt>
                <c:pt idx="1">
                  <c:v>0.90020503967894427</c:v>
                </c:pt>
                <c:pt idx="2">
                  <c:v>1.1714318289160135</c:v>
                </c:pt>
                <c:pt idx="3">
                  <c:v>1.6511909715037874</c:v>
                </c:pt>
                <c:pt idx="4">
                  <c:v>2.6215688119156773</c:v>
                </c:pt>
                <c:pt idx="5">
                  <c:v>4.5</c:v>
                </c:pt>
                <c:pt idx="6">
                  <c:v>6.3784311880843223</c:v>
                </c:pt>
                <c:pt idx="7">
                  <c:v>7.3488090284962126</c:v>
                </c:pt>
                <c:pt idx="8">
                  <c:v>7.8285681710839867</c:v>
                </c:pt>
                <c:pt idx="9">
                  <c:v>8.0997949603210557</c:v>
                </c:pt>
                <c:pt idx="10">
                  <c:v>8.2712923755724574</c:v>
                </c:pt>
                <c:pt idx="11">
                  <c:v>8.3887471508974123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B-420A-91AC-CA87A5DA7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290304"/>
        <c:axId val="1323769696"/>
      </c:lineChart>
      <c:catAx>
        <c:axId val="140029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Power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769696"/>
        <c:crosses val="autoZero"/>
        <c:auto val="1"/>
        <c:lblAlgn val="ctr"/>
        <c:lblOffset val="100"/>
        <c:noMultiLvlLbl val="0"/>
      </c:catAx>
      <c:valAx>
        <c:axId val="13237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Thrust</a:t>
                </a:r>
                <a:r>
                  <a:rPr lang="en-AU" baseline="0"/>
                  <a:t> GN</a:t>
                </a:r>
                <a:endParaRPr lang="en-AU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29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223837</xdr:colOff>
      <xdr:row>26</xdr:row>
      <xdr:rowOff>47625</xdr:rowOff>
    </xdr:from>
    <xdr:to>
      <xdr:col>17</xdr:col>
      <xdr:colOff>4762</xdr:colOff>
      <xdr:row>40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531481-C694-438F-9E23-E724A959C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</xdr:colOff>
      <xdr:row>50</xdr:row>
      <xdr:rowOff>42862</xdr:rowOff>
    </xdr:from>
    <xdr:to>
      <xdr:col>13</xdr:col>
      <xdr:colOff>261937</xdr:colOff>
      <xdr:row>64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2C8031-FA92-41CF-98CB-63953D49E2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1BFA-0575-4A56-A948-691CAF86FB6C}">
  <dimension ref="A1:R65"/>
  <sheetViews>
    <sheetView tabSelected="1" workbookViewId="0">
      <selection activeCell="J22" sqref="J22"/>
    </sheetView>
  </sheetViews>
  <sheetFormatPr defaultRowHeight="15" x14ac:dyDescent="0.25"/>
  <cols>
    <col min="1" max="1" width="12.85546875" customWidth="1"/>
    <col min="3" max="3" width="13" customWidth="1"/>
    <col min="6" max="6" width="13.7109375" customWidth="1"/>
    <col min="9" max="9" width="13.85546875" customWidth="1"/>
    <col min="13" max="13" width="15" customWidth="1"/>
    <col min="15" max="15" width="9.42578125" customWidth="1"/>
    <col min="16" max="16" width="16.5703125" customWidth="1"/>
    <col min="17" max="17" width="12.5703125" customWidth="1"/>
    <col min="18" max="18" width="12.85546875" customWidth="1"/>
  </cols>
  <sheetData>
    <row r="1" spans="1:18" x14ac:dyDescent="0.25">
      <c r="A1" s="1" t="s">
        <v>0</v>
      </c>
    </row>
    <row r="3" spans="1:18" ht="15.75" thickBot="1" x14ac:dyDescent="0.3">
      <c r="A3" s="1" t="s">
        <v>22</v>
      </c>
      <c r="F3" s="1" t="s">
        <v>53</v>
      </c>
      <c r="K3" s="1" t="s">
        <v>26</v>
      </c>
      <c r="M3" s="7" t="s">
        <v>35</v>
      </c>
      <c r="P3" t="s">
        <v>23</v>
      </c>
      <c r="Q3" s="11">
        <v>0</v>
      </c>
    </row>
    <row r="4" spans="1:18" ht="16.5" thickTop="1" thickBot="1" x14ac:dyDescent="0.3">
      <c r="A4" s="1" t="s">
        <v>1</v>
      </c>
      <c r="C4" t="s">
        <v>9</v>
      </c>
      <c r="D4" s="11">
        <v>60</v>
      </c>
      <c r="F4" t="s">
        <v>10</v>
      </c>
      <c r="G4">
        <v>300000</v>
      </c>
      <c r="H4" s="6" t="s">
        <v>14</v>
      </c>
      <c r="K4" t="s">
        <v>2</v>
      </c>
      <c r="L4" s="11">
        <v>-2</v>
      </c>
      <c r="M4" t="s">
        <v>28</v>
      </c>
      <c r="N4">
        <f>L4-B13</f>
        <v>-2</v>
      </c>
      <c r="O4">
        <f>IF(N4&lt;0,180,0)</f>
        <v>180</v>
      </c>
      <c r="P4" s="6" t="s">
        <v>24</v>
      </c>
      <c r="Q4" s="6">
        <f>IF(Q3&gt;315,0,IF(Q3&gt;225,270,IF(Q3&gt;135,180,IF(Q3&gt;45,90,0))))</f>
        <v>0</v>
      </c>
    </row>
    <row r="5" spans="1:18" ht="16.5" thickTop="1" thickBot="1" x14ac:dyDescent="0.3">
      <c r="A5" t="s">
        <v>2</v>
      </c>
      <c r="B5" s="11">
        <v>0</v>
      </c>
      <c r="F5" t="s">
        <v>11</v>
      </c>
      <c r="G5">
        <v>0.2</v>
      </c>
      <c r="H5" s="6" t="s">
        <v>17</v>
      </c>
      <c r="K5" t="s">
        <v>3</v>
      </c>
      <c r="L5" s="11">
        <v>2</v>
      </c>
      <c r="M5" t="s">
        <v>29</v>
      </c>
      <c r="N5">
        <f>L5-B14</f>
        <v>2</v>
      </c>
      <c r="O5" t="s">
        <v>27</v>
      </c>
    </row>
    <row r="6" spans="1:18" ht="16.5" thickTop="1" thickBot="1" x14ac:dyDescent="0.3">
      <c r="A6" t="s">
        <v>3</v>
      </c>
      <c r="B6" s="11">
        <v>0</v>
      </c>
      <c r="F6" t="s">
        <v>12</v>
      </c>
      <c r="G6">
        <v>5000</v>
      </c>
      <c r="H6" s="6" t="s">
        <v>18</v>
      </c>
      <c r="I6" s="8">
        <f>G6*E21</f>
        <v>1500000</v>
      </c>
      <c r="J6" s="6" t="s">
        <v>58</v>
      </c>
      <c r="K6" t="s">
        <v>4</v>
      </c>
      <c r="L6" s="11">
        <v>0</v>
      </c>
      <c r="M6" t="s">
        <v>30</v>
      </c>
      <c r="N6">
        <f>B15-L6</f>
        <v>0</v>
      </c>
      <c r="O6" t="s">
        <v>37</v>
      </c>
      <c r="P6" t="s">
        <v>38</v>
      </c>
      <c r="Q6" t="s">
        <v>39</v>
      </c>
      <c r="R6" s="3" t="s">
        <v>31</v>
      </c>
    </row>
    <row r="7" spans="1:18" ht="16.5" thickTop="1" thickBot="1" x14ac:dyDescent="0.3">
      <c r="A7" t="s">
        <v>4</v>
      </c>
      <c r="B7" s="11">
        <v>0</v>
      </c>
      <c r="F7" t="s">
        <v>15</v>
      </c>
      <c r="G7">
        <f>(G6*E21)/E35</f>
        <v>500.00000000000006</v>
      </c>
      <c r="H7" s="6" t="s">
        <v>16</v>
      </c>
      <c r="I7" s="6" t="s">
        <v>54</v>
      </c>
      <c r="M7" t="s">
        <v>31</v>
      </c>
      <c r="N7">
        <f>IF(N4&lt;&gt;0,IF(N5&lt;&gt;0,DEGREES(ATAN(N4/N5)),0),0)</f>
        <v>-45</v>
      </c>
      <c r="O7">
        <f>N7+O4</f>
        <v>135</v>
      </c>
      <c r="P7">
        <f>IF(N5&lt;0,(360-O7)*-1,O7)</f>
        <v>135</v>
      </c>
      <c r="Q7">
        <f>IF(N4=0,IF(N5&lt;0,-90,90),0)</f>
        <v>0</v>
      </c>
      <c r="R7" s="3">
        <f>IF(Q7&lt;&gt;0,Q7,IF(N7=0,P7,IF(P7&lt;-360,P7+360,P7)))</f>
        <v>135</v>
      </c>
    </row>
    <row r="8" spans="1:18" ht="15.75" thickTop="1" x14ac:dyDescent="0.25">
      <c r="A8" t="s">
        <v>67</v>
      </c>
      <c r="C8" t="s">
        <v>68</v>
      </c>
      <c r="M8" s="3" t="s">
        <v>32</v>
      </c>
      <c r="N8" s="2">
        <f>R7-D13</f>
        <v>75</v>
      </c>
      <c r="O8" s="3">
        <f>IF(N8&lt;-180,N8+360,N8)</f>
        <v>75</v>
      </c>
    </row>
    <row r="9" spans="1:18" ht="15.75" thickBot="1" x14ac:dyDescent="0.3">
      <c r="A9" t="s">
        <v>5</v>
      </c>
      <c r="B9" s="11">
        <v>0</v>
      </c>
      <c r="C9" s="10" t="s">
        <v>2</v>
      </c>
      <c r="D9">
        <f>ROUND(COS(D13*PI()/180)*B11,0)</f>
        <v>0</v>
      </c>
      <c r="M9" t="s">
        <v>33</v>
      </c>
      <c r="N9">
        <f>IF(O8&lt;=-90,4,IF(O8&lt;=0,2,IF(O8&gt;=90,3,IF(O8&gt;=0,1,1))))</f>
        <v>1</v>
      </c>
    </row>
    <row r="10" spans="1:18" ht="16.5" thickTop="1" thickBot="1" x14ac:dyDescent="0.3">
      <c r="A10" t="s">
        <v>6</v>
      </c>
      <c r="B10" s="11">
        <v>0</v>
      </c>
      <c r="C10" s="10" t="s">
        <v>3</v>
      </c>
      <c r="D10">
        <f>ROUND(SIN(D13*PI()/180)*B11,0)</f>
        <v>0</v>
      </c>
      <c r="F10" s="1" t="s">
        <v>21</v>
      </c>
      <c r="M10" t="s">
        <v>34</v>
      </c>
      <c r="N10">
        <f>IF(B11-L6&lt;=0,0,4)</f>
        <v>0</v>
      </c>
      <c r="P10" s="3" t="s">
        <v>40</v>
      </c>
      <c r="Q10">
        <f>IF(N4=0,N5,IF(N5=0,N4,SQRT(POWER(N4,2)+POWER(N5,2))))</f>
        <v>2.8284271247461903</v>
      </c>
      <c r="R10" s="3">
        <f>IF(N4&lt;&gt;0,IF(N6&lt;&gt;0,SQRT(POWER(Q11,2)+POWER(N6,2)),Q11),Q11)</f>
        <v>2.8284271247461903</v>
      </c>
    </row>
    <row r="11" spans="1:18" ht="16.5" thickTop="1" thickBot="1" x14ac:dyDescent="0.3">
      <c r="A11" t="s">
        <v>69</v>
      </c>
      <c r="B11" s="11">
        <v>0</v>
      </c>
      <c r="C11" s="10" t="s">
        <v>4</v>
      </c>
      <c r="D11">
        <f>ROUND(SIN(B10*PI()/180)*B11,0)</f>
        <v>0</v>
      </c>
      <c r="F11" t="s">
        <v>23</v>
      </c>
      <c r="G11" s="2">
        <f>D13</f>
        <v>60</v>
      </c>
      <c r="M11" s="3" t="s">
        <v>33</v>
      </c>
      <c r="N11" s="3">
        <f>N9+N10</f>
        <v>1</v>
      </c>
      <c r="P11" t="s">
        <v>41</v>
      </c>
      <c r="Q11">
        <f>IF(Q10&lt;0,Q10*-1,Q10)</f>
        <v>2.8284271247461903</v>
      </c>
    </row>
    <row r="12" spans="1:18" ht="16.5" thickTop="1" thickBot="1" x14ac:dyDescent="0.3">
      <c r="A12" s="5" t="s">
        <v>7</v>
      </c>
      <c r="B12" s="3"/>
      <c r="C12" s="10" t="s">
        <v>66</v>
      </c>
      <c r="D12">
        <f>IF(B9&lt;&gt;0,IF(B11&lt;&gt;0,(B9/B11)*G12*I46,0),0)</f>
        <v>0</v>
      </c>
      <c r="E12" s="6" t="s">
        <v>73</v>
      </c>
      <c r="F12" t="s">
        <v>20</v>
      </c>
      <c r="G12" s="11">
        <v>10</v>
      </c>
      <c r="H12" s="6" t="s">
        <v>72</v>
      </c>
      <c r="M12" s="7" t="s">
        <v>36</v>
      </c>
    </row>
    <row r="13" spans="1:18" ht="15.75" thickTop="1" x14ac:dyDescent="0.25">
      <c r="A13" s="3" t="s">
        <v>2</v>
      </c>
      <c r="B13" s="3">
        <f>B5+D9</f>
        <v>0</v>
      </c>
      <c r="C13" s="3" t="s">
        <v>8</v>
      </c>
      <c r="D13" s="4">
        <f>IF(D4+B9&gt;=360, D4+B9-360, IF(D4+B9&lt;0,360+D4+B9,D4+B9))</f>
        <v>60</v>
      </c>
      <c r="F13" s="3" t="s">
        <v>70</v>
      </c>
      <c r="G13" s="3">
        <f>ROUND(COS($G$11*PI()/180)*G12,0)+B13</f>
        <v>5</v>
      </c>
      <c r="M13" t="s">
        <v>28</v>
      </c>
      <c r="N13">
        <f>B13-L4</f>
        <v>2</v>
      </c>
      <c r="O13">
        <f>IF(N13&lt;0,180,0)</f>
        <v>0</v>
      </c>
    </row>
    <row r="14" spans="1:18" x14ac:dyDescent="0.25">
      <c r="A14" s="3" t="s">
        <v>3</v>
      </c>
      <c r="B14" s="3">
        <f>B6+D10</f>
        <v>0</v>
      </c>
      <c r="C14" s="6" t="s">
        <v>25</v>
      </c>
      <c r="D14" s="6">
        <f>IF(D13&gt;315,0,IF(D13&gt;225,270,IF(D13&gt;135,180,IF(D13&gt;45,90,0))))</f>
        <v>90</v>
      </c>
      <c r="F14" s="3" t="s">
        <v>71</v>
      </c>
      <c r="G14" s="3">
        <f>ROUND(SIN($G$11*PI()/180)*G12,0)+B14</f>
        <v>9</v>
      </c>
      <c r="M14" t="s">
        <v>29</v>
      </c>
      <c r="N14">
        <f>B14-L5</f>
        <v>-2</v>
      </c>
    </row>
    <row r="15" spans="1:18" x14ac:dyDescent="0.25">
      <c r="A15" s="3" t="s">
        <v>4</v>
      </c>
      <c r="B15" s="3">
        <f>B7+D11</f>
        <v>0</v>
      </c>
      <c r="M15" t="s">
        <v>30</v>
      </c>
      <c r="N15">
        <f>L6-B15</f>
        <v>0</v>
      </c>
      <c r="O15" t="s">
        <v>37</v>
      </c>
      <c r="P15" t="s">
        <v>38</v>
      </c>
      <c r="Q15" t="s">
        <v>39</v>
      </c>
      <c r="R15" s="3" t="s">
        <v>31</v>
      </c>
    </row>
    <row r="16" spans="1:18" x14ac:dyDescent="0.25">
      <c r="M16" t="s">
        <v>31</v>
      </c>
      <c r="N16">
        <f>IF(N13&lt;&gt;0,IF(N14&lt;&gt;0,DEGREES(ATAN(N13/N14)),0),0)</f>
        <v>-45</v>
      </c>
      <c r="O16">
        <f>N16+O13</f>
        <v>-45</v>
      </c>
      <c r="P16">
        <f>IF(N14&lt;0,(360-O16)*-1,IF(N14&lt;0,(360-O16)*-1,O16))</f>
        <v>-405</v>
      </c>
      <c r="Q16">
        <f>IF(N13=0,IF(N14&lt;0,-90,90),0)</f>
        <v>0</v>
      </c>
      <c r="R16" s="3">
        <f>IF(Q16&lt;&gt;0,Q16,IF(N16=0,P16,IF(P16&lt;-360,P16+360,P16)))</f>
        <v>-45</v>
      </c>
    </row>
    <row r="17" spans="4:15" x14ac:dyDescent="0.25">
      <c r="F17" t="s">
        <v>27</v>
      </c>
      <c r="M17" s="3" t="s">
        <v>32</v>
      </c>
      <c r="N17">
        <f>Q16-Q3</f>
        <v>0</v>
      </c>
      <c r="O17" s="3">
        <f>IF(N17&lt;-180,N17+360,N17)</f>
        <v>0</v>
      </c>
    </row>
    <row r="18" spans="4:15" x14ac:dyDescent="0.25">
      <c r="M18" t="s">
        <v>33</v>
      </c>
      <c r="N18">
        <f>IF(O17&lt;=-90,4,IF(O17&lt;=0,2,IF(O17&gt;=90,3,IF(O17&gt;=0,1,1))))</f>
        <v>2</v>
      </c>
    </row>
    <row r="19" spans="4:15" x14ac:dyDescent="0.25">
      <c r="G19" t="s">
        <v>27</v>
      </c>
      <c r="M19" t="s">
        <v>34</v>
      </c>
      <c r="N19">
        <f>IF(L6-B15&lt;=0,0,4)</f>
        <v>0</v>
      </c>
    </row>
    <row r="20" spans="4:15" x14ac:dyDescent="0.25">
      <c r="D20" s="1" t="s">
        <v>65</v>
      </c>
      <c r="M20" s="3" t="s">
        <v>33</v>
      </c>
      <c r="N20" s="3">
        <f>N18+N19</f>
        <v>2</v>
      </c>
    </row>
    <row r="21" spans="4:15" ht="15.75" thickBot="1" x14ac:dyDescent="0.3">
      <c r="D21" t="s">
        <v>13</v>
      </c>
      <c r="E21">
        <v>300</v>
      </c>
      <c r="I21" t="s">
        <v>49</v>
      </c>
      <c r="J21" s="11">
        <v>2</v>
      </c>
      <c r="K21" t="s">
        <v>48</v>
      </c>
    </row>
    <row r="22" spans="4:15" ht="16.5" thickTop="1" thickBot="1" x14ac:dyDescent="0.3">
      <c r="D22" t="s">
        <v>51</v>
      </c>
      <c r="E22">
        <v>3000</v>
      </c>
      <c r="F22" t="s">
        <v>45</v>
      </c>
      <c r="I22" t="s">
        <v>43</v>
      </c>
      <c r="J22" s="11">
        <v>0.13</v>
      </c>
      <c r="K22" t="s">
        <v>57</v>
      </c>
      <c r="L22" s="11">
        <v>0.76</v>
      </c>
    </row>
    <row r="23" spans="4:15" ht="18" thickTop="1" x14ac:dyDescent="0.25">
      <c r="D23" t="s">
        <v>42</v>
      </c>
      <c r="E23">
        <v>0.1</v>
      </c>
      <c r="F23" t="s">
        <v>50</v>
      </c>
      <c r="G23" t="s">
        <v>46</v>
      </c>
      <c r="H23" t="s">
        <v>47</v>
      </c>
      <c r="I23" t="s">
        <v>44</v>
      </c>
      <c r="K23" t="s">
        <v>56</v>
      </c>
    </row>
    <row r="24" spans="4:15" x14ac:dyDescent="0.25">
      <c r="D24" t="s">
        <v>19</v>
      </c>
      <c r="E24" t="s">
        <v>52</v>
      </c>
      <c r="F24">
        <v>0</v>
      </c>
      <c r="G24">
        <v>0</v>
      </c>
      <c r="H24">
        <v>0</v>
      </c>
      <c r="I24">
        <v>0</v>
      </c>
      <c r="K24">
        <v>0</v>
      </c>
    </row>
    <row r="25" spans="4:15" x14ac:dyDescent="0.25">
      <c r="D25">
        <f t="shared" ref="D25:D46" si="0">E25/$E$21</f>
        <v>0.1</v>
      </c>
      <c r="E25">
        <f t="shared" ref="E25:E46" si="1">$E$22*F25</f>
        <v>30</v>
      </c>
      <c r="F25">
        <v>0.01</v>
      </c>
      <c r="G25">
        <f>LOG(F25,$J$21)</f>
        <v>-6.6438561897747244</v>
      </c>
      <c r="H25">
        <f t="shared" ref="H25:H46" si="2">1-G25</f>
        <v>7.6438561897747244</v>
      </c>
      <c r="I25">
        <f>$I$26*D25</f>
        <v>3.3245600729902787</v>
      </c>
      <c r="J25" s="6" t="s">
        <v>52</v>
      </c>
      <c r="K25">
        <f>I25*$L$22</f>
        <v>2.5266656554726117</v>
      </c>
      <c r="L25" s="6" t="s">
        <v>55</v>
      </c>
    </row>
    <row r="26" spans="4:15" x14ac:dyDescent="0.25">
      <c r="D26">
        <f t="shared" si="0"/>
        <v>1</v>
      </c>
      <c r="E26">
        <f t="shared" si="1"/>
        <v>300</v>
      </c>
      <c r="F26">
        <f>F24+$E$23</f>
        <v>0.1</v>
      </c>
      <c r="G26">
        <f>LOG(F26,$J$21)</f>
        <v>-3.3219280948873622</v>
      </c>
      <c r="H26">
        <f t="shared" si="2"/>
        <v>4.3219280948873617</v>
      </c>
      <c r="I26">
        <f t="shared" ref="I26:I46" si="3">H26/$J$22</f>
        <v>33.245600729902783</v>
      </c>
      <c r="J26" s="6" t="s">
        <v>52</v>
      </c>
      <c r="K26">
        <f t="shared" ref="K26:K46" si="4">I26*$L$22</f>
        <v>25.266656554726115</v>
      </c>
    </row>
    <row r="27" spans="4:15" x14ac:dyDescent="0.25">
      <c r="D27">
        <f t="shared" si="0"/>
        <v>2</v>
      </c>
      <c r="E27">
        <f t="shared" si="1"/>
        <v>600</v>
      </c>
      <c r="F27">
        <f t="shared" ref="F27:F45" si="5">F26+$E$23</f>
        <v>0.2</v>
      </c>
      <c r="G27">
        <f t="shared" ref="G27:G46" si="6">LOG(F27,$J$21)</f>
        <v>-2.3219280948873622</v>
      </c>
      <c r="H27">
        <f t="shared" si="2"/>
        <v>3.3219280948873622</v>
      </c>
      <c r="I27">
        <f t="shared" si="3"/>
        <v>25.553293037595093</v>
      </c>
      <c r="J27" s="6" t="s">
        <v>52</v>
      </c>
      <c r="K27">
        <f t="shared" si="4"/>
        <v>19.420502708572272</v>
      </c>
    </row>
    <row r="28" spans="4:15" x14ac:dyDescent="0.25">
      <c r="D28">
        <f t="shared" si="0"/>
        <v>3.0000000000000004</v>
      </c>
      <c r="E28">
        <f t="shared" si="1"/>
        <v>900.00000000000011</v>
      </c>
      <c r="F28">
        <f t="shared" si="5"/>
        <v>0.30000000000000004</v>
      </c>
      <c r="G28">
        <f t="shared" si="6"/>
        <v>-1.7369655941662061</v>
      </c>
      <c r="H28">
        <f t="shared" si="2"/>
        <v>2.7369655941662061</v>
      </c>
      <c r="I28">
        <f t="shared" si="3"/>
        <v>21.053581493586201</v>
      </c>
      <c r="J28" s="6" t="s">
        <v>52</v>
      </c>
      <c r="K28">
        <f t="shared" si="4"/>
        <v>16.000721935125512</v>
      </c>
    </row>
    <row r="29" spans="4:15" x14ac:dyDescent="0.25">
      <c r="D29">
        <f t="shared" si="0"/>
        <v>4</v>
      </c>
      <c r="E29">
        <f t="shared" si="1"/>
        <v>1200</v>
      </c>
      <c r="F29">
        <f t="shared" si="5"/>
        <v>0.4</v>
      </c>
      <c r="G29">
        <f t="shared" si="6"/>
        <v>-1.3219280948873622</v>
      </c>
      <c r="H29">
        <f t="shared" si="2"/>
        <v>2.3219280948873622</v>
      </c>
      <c r="I29">
        <f t="shared" si="3"/>
        <v>17.8609853452874</v>
      </c>
      <c r="J29" s="6" t="s">
        <v>52</v>
      </c>
      <c r="K29">
        <f t="shared" si="4"/>
        <v>13.574348862418423</v>
      </c>
    </row>
    <row r="30" spans="4:15" x14ac:dyDescent="0.25">
      <c r="D30">
        <f t="shared" si="0"/>
        <v>5</v>
      </c>
      <c r="E30">
        <f t="shared" si="1"/>
        <v>1500</v>
      </c>
      <c r="F30">
        <f t="shared" si="5"/>
        <v>0.5</v>
      </c>
      <c r="G30">
        <f t="shared" si="6"/>
        <v>-1</v>
      </c>
      <c r="H30">
        <f t="shared" si="2"/>
        <v>2</v>
      </c>
      <c r="I30">
        <f t="shared" si="3"/>
        <v>15.384615384615383</v>
      </c>
      <c r="J30" s="6" t="s">
        <v>52</v>
      </c>
      <c r="K30">
        <f t="shared" si="4"/>
        <v>11.692307692307692</v>
      </c>
    </row>
    <row r="31" spans="4:15" x14ac:dyDescent="0.25">
      <c r="D31">
        <f t="shared" si="0"/>
        <v>6</v>
      </c>
      <c r="E31">
        <f t="shared" si="1"/>
        <v>1800</v>
      </c>
      <c r="F31">
        <f t="shared" si="5"/>
        <v>0.6</v>
      </c>
      <c r="G31">
        <f t="shared" si="6"/>
        <v>-0.73696559416620622</v>
      </c>
      <c r="H31">
        <f t="shared" si="2"/>
        <v>1.7369655941662061</v>
      </c>
      <c r="I31">
        <f t="shared" si="3"/>
        <v>13.361273801278507</v>
      </c>
      <c r="J31" s="6" t="s">
        <v>52</v>
      </c>
      <c r="K31">
        <f t="shared" si="4"/>
        <v>10.154568088971665</v>
      </c>
    </row>
    <row r="32" spans="4:15" x14ac:dyDescent="0.25">
      <c r="D32">
        <f t="shared" si="0"/>
        <v>7</v>
      </c>
      <c r="E32">
        <f t="shared" si="1"/>
        <v>2100</v>
      </c>
      <c r="F32">
        <f t="shared" si="5"/>
        <v>0.7</v>
      </c>
      <c r="G32">
        <f t="shared" si="6"/>
        <v>-0.51457317282975834</v>
      </c>
      <c r="H32">
        <f t="shared" si="2"/>
        <v>1.5145731728297585</v>
      </c>
      <c r="I32">
        <f t="shared" si="3"/>
        <v>11.650562867921218</v>
      </c>
      <c r="J32" s="6" t="s">
        <v>52</v>
      </c>
      <c r="K32">
        <f t="shared" si="4"/>
        <v>8.8544277796201261</v>
      </c>
    </row>
    <row r="33" spans="4:11" x14ac:dyDescent="0.25">
      <c r="D33">
        <f t="shared" si="0"/>
        <v>8</v>
      </c>
      <c r="E33">
        <f t="shared" si="1"/>
        <v>2400</v>
      </c>
      <c r="F33">
        <f t="shared" si="5"/>
        <v>0.79999999999999993</v>
      </c>
      <c r="G33">
        <f t="shared" si="6"/>
        <v>-0.32192809488736251</v>
      </c>
      <c r="H33">
        <f t="shared" si="2"/>
        <v>1.3219280948873626</v>
      </c>
      <c r="I33">
        <f t="shared" si="3"/>
        <v>10.168677652979712</v>
      </c>
      <c r="J33" s="6" t="s">
        <v>52</v>
      </c>
      <c r="K33">
        <f t="shared" si="4"/>
        <v>7.7281950162645812</v>
      </c>
    </row>
    <row r="34" spans="4:11" x14ac:dyDescent="0.25">
      <c r="D34">
        <f t="shared" si="0"/>
        <v>8.9999999999999982</v>
      </c>
      <c r="E34">
        <f t="shared" si="1"/>
        <v>2699.9999999999995</v>
      </c>
      <c r="F34">
        <f t="shared" si="5"/>
        <v>0.89999999999999991</v>
      </c>
      <c r="G34">
        <f t="shared" si="6"/>
        <v>-0.15200309344505014</v>
      </c>
      <c r="H34">
        <f t="shared" si="2"/>
        <v>1.15200309344505</v>
      </c>
      <c r="I34">
        <f t="shared" si="3"/>
        <v>8.8615622572696147</v>
      </c>
      <c r="J34" s="6" t="s">
        <v>52</v>
      </c>
      <c r="K34">
        <f t="shared" si="4"/>
        <v>6.7347873155249074</v>
      </c>
    </row>
    <row r="35" spans="4:11" x14ac:dyDescent="0.25">
      <c r="D35">
        <f t="shared" si="0"/>
        <v>9.9999999999999982</v>
      </c>
      <c r="E35">
        <f t="shared" si="1"/>
        <v>2999.9999999999995</v>
      </c>
      <c r="F35">
        <f t="shared" si="5"/>
        <v>0.99999999999999989</v>
      </c>
      <c r="G35">
        <f t="shared" si="6"/>
        <v>-1.6017132519074588E-16</v>
      </c>
      <c r="H35">
        <f t="shared" si="2"/>
        <v>1.0000000000000002</v>
      </c>
      <c r="I35">
        <f t="shared" si="3"/>
        <v>7.6923076923076934</v>
      </c>
      <c r="J35" s="6" t="s">
        <v>52</v>
      </c>
      <c r="K35">
        <f t="shared" si="4"/>
        <v>5.8461538461538467</v>
      </c>
    </row>
    <row r="36" spans="4:11" x14ac:dyDescent="0.25">
      <c r="D36">
        <f t="shared" si="0"/>
        <v>10.999999999999998</v>
      </c>
      <c r="E36">
        <f t="shared" si="1"/>
        <v>3299.9999999999995</v>
      </c>
      <c r="F36">
        <f t="shared" si="5"/>
        <v>1.0999999999999999</v>
      </c>
      <c r="G36">
        <f t="shared" si="6"/>
        <v>0.13750352374993474</v>
      </c>
      <c r="H36">
        <f t="shared" si="2"/>
        <v>0.86249647625006531</v>
      </c>
      <c r="I36">
        <f t="shared" si="3"/>
        <v>6.6345882788466559</v>
      </c>
      <c r="J36" s="6" t="s">
        <v>52</v>
      </c>
      <c r="K36">
        <f t="shared" si="4"/>
        <v>5.0422870919234581</v>
      </c>
    </row>
    <row r="37" spans="4:11" x14ac:dyDescent="0.25">
      <c r="D37">
        <f t="shared" si="0"/>
        <v>12</v>
      </c>
      <c r="E37">
        <f t="shared" si="1"/>
        <v>3600</v>
      </c>
      <c r="F37">
        <f t="shared" si="5"/>
        <v>1.2</v>
      </c>
      <c r="G37">
        <f t="shared" si="6"/>
        <v>0.26303440583379378</v>
      </c>
      <c r="H37">
        <f t="shared" si="2"/>
        <v>0.73696559416620622</v>
      </c>
      <c r="I37">
        <f t="shared" si="3"/>
        <v>5.6689661089708165</v>
      </c>
      <c r="J37" s="6" t="s">
        <v>52</v>
      </c>
      <c r="K37">
        <f t="shared" si="4"/>
        <v>4.3084142428178209</v>
      </c>
    </row>
    <row r="38" spans="4:11" x14ac:dyDescent="0.25">
      <c r="D38">
        <f t="shared" si="0"/>
        <v>13</v>
      </c>
      <c r="E38">
        <f t="shared" si="1"/>
        <v>3900</v>
      </c>
      <c r="F38">
        <f t="shared" si="5"/>
        <v>1.3</v>
      </c>
      <c r="G38">
        <f t="shared" si="6"/>
        <v>0.37851162325372983</v>
      </c>
      <c r="H38">
        <f t="shared" si="2"/>
        <v>0.62148837674627022</v>
      </c>
      <c r="I38">
        <f t="shared" si="3"/>
        <v>4.7806798211251555</v>
      </c>
      <c r="J38" s="6" t="s">
        <v>52</v>
      </c>
      <c r="K38">
        <f t="shared" si="4"/>
        <v>3.6333166640551182</v>
      </c>
    </row>
    <row r="39" spans="4:11" x14ac:dyDescent="0.25">
      <c r="D39">
        <f t="shared" si="0"/>
        <v>14</v>
      </c>
      <c r="E39">
        <f t="shared" si="1"/>
        <v>4200</v>
      </c>
      <c r="F39">
        <f t="shared" si="5"/>
        <v>1.4000000000000001</v>
      </c>
      <c r="G39">
        <f t="shared" si="6"/>
        <v>0.48542682717024188</v>
      </c>
      <c r="H39">
        <f t="shared" si="2"/>
        <v>0.51457317282975812</v>
      </c>
      <c r="I39">
        <f t="shared" si="3"/>
        <v>3.958255175613524</v>
      </c>
      <c r="J39" s="6" t="s">
        <v>52</v>
      </c>
      <c r="K39">
        <f t="shared" si="4"/>
        <v>3.0082739334662785</v>
      </c>
    </row>
    <row r="40" spans="4:11" x14ac:dyDescent="0.25">
      <c r="D40">
        <f t="shared" si="0"/>
        <v>15.000000000000004</v>
      </c>
      <c r="E40">
        <f t="shared" si="1"/>
        <v>4500.0000000000009</v>
      </c>
      <c r="F40">
        <f t="shared" si="5"/>
        <v>1.5000000000000002</v>
      </c>
      <c r="G40">
        <f t="shared" si="6"/>
        <v>0.58496250072115641</v>
      </c>
      <c r="H40">
        <f t="shared" si="2"/>
        <v>0.41503749927884359</v>
      </c>
      <c r="I40">
        <f t="shared" si="3"/>
        <v>3.1925961482987968</v>
      </c>
      <c r="J40" s="6" t="s">
        <v>52</v>
      </c>
      <c r="K40">
        <f t="shared" si="4"/>
        <v>2.4263730727070856</v>
      </c>
    </row>
    <row r="41" spans="4:11" x14ac:dyDescent="0.25">
      <c r="D41">
        <f t="shared" si="0"/>
        <v>16.000000000000004</v>
      </c>
      <c r="E41">
        <f t="shared" si="1"/>
        <v>4800.0000000000009</v>
      </c>
      <c r="F41">
        <f t="shared" si="5"/>
        <v>1.6000000000000003</v>
      </c>
      <c r="G41">
        <f t="shared" si="6"/>
        <v>0.67807190511263793</v>
      </c>
      <c r="H41">
        <f t="shared" si="2"/>
        <v>0.32192809488736207</v>
      </c>
      <c r="I41">
        <f t="shared" si="3"/>
        <v>2.4763699606720158</v>
      </c>
      <c r="J41" s="6" t="s">
        <v>52</v>
      </c>
      <c r="K41">
        <f t="shared" si="4"/>
        <v>1.882041170110732</v>
      </c>
    </row>
    <row r="42" spans="4:11" x14ac:dyDescent="0.25">
      <c r="D42">
        <f t="shared" si="0"/>
        <v>17.000000000000004</v>
      </c>
      <c r="E42">
        <f t="shared" si="1"/>
        <v>5100.0000000000009</v>
      </c>
      <c r="F42">
        <f t="shared" si="5"/>
        <v>1.7000000000000004</v>
      </c>
      <c r="G42">
        <f t="shared" si="6"/>
        <v>0.76553474636297736</v>
      </c>
      <c r="H42">
        <f t="shared" si="2"/>
        <v>0.23446525363702264</v>
      </c>
      <c r="I42">
        <f t="shared" si="3"/>
        <v>1.8035788741309433</v>
      </c>
      <c r="J42" s="6" t="s">
        <v>52</v>
      </c>
      <c r="K42">
        <f t="shared" si="4"/>
        <v>1.3707199443395168</v>
      </c>
    </row>
    <row r="43" spans="4:11" x14ac:dyDescent="0.25">
      <c r="D43">
        <f t="shared" si="0"/>
        <v>18.000000000000007</v>
      </c>
      <c r="E43">
        <f t="shared" si="1"/>
        <v>5400.0000000000018</v>
      </c>
      <c r="F43">
        <f t="shared" si="5"/>
        <v>1.8000000000000005</v>
      </c>
      <c r="G43">
        <f t="shared" si="6"/>
        <v>0.84799690655495041</v>
      </c>
      <c r="H43">
        <f t="shared" si="2"/>
        <v>0.15200309344504959</v>
      </c>
      <c r="I43">
        <f t="shared" si="3"/>
        <v>1.1692545649619199</v>
      </c>
      <c r="J43" s="6" t="s">
        <v>52</v>
      </c>
      <c r="K43">
        <f t="shared" si="4"/>
        <v>0.88863346937105914</v>
      </c>
    </row>
    <row r="44" spans="4:11" x14ac:dyDescent="0.25">
      <c r="D44">
        <f t="shared" si="0"/>
        <v>19.000000000000007</v>
      </c>
      <c r="E44">
        <f t="shared" si="1"/>
        <v>5700.0000000000018</v>
      </c>
      <c r="F44">
        <f t="shared" si="5"/>
        <v>1.9000000000000006</v>
      </c>
      <c r="G44">
        <f t="shared" si="6"/>
        <v>0.92599941855622359</v>
      </c>
      <c r="H44">
        <f t="shared" si="2"/>
        <v>7.4000581443776414E-2</v>
      </c>
      <c r="I44">
        <f t="shared" si="3"/>
        <v>0.56923524187520314</v>
      </c>
      <c r="J44" s="6" t="s">
        <v>52</v>
      </c>
      <c r="K44">
        <f t="shared" si="4"/>
        <v>0.4326187838251544</v>
      </c>
    </row>
    <row r="45" spans="4:11" x14ac:dyDescent="0.25">
      <c r="D45">
        <f t="shared" si="0"/>
        <v>20.000000000000004</v>
      </c>
      <c r="E45">
        <f t="shared" si="1"/>
        <v>6000.0000000000009</v>
      </c>
      <c r="F45">
        <f t="shared" si="5"/>
        <v>2.0000000000000004</v>
      </c>
      <c r="G45">
        <f t="shared" si="6"/>
        <v>1.0000000000000002</v>
      </c>
      <c r="H45">
        <f>1-G45</f>
        <v>0</v>
      </c>
      <c r="I45">
        <f t="shared" si="3"/>
        <v>0</v>
      </c>
      <c r="J45" s="6" t="s">
        <v>52</v>
      </c>
      <c r="K45">
        <f t="shared" si="4"/>
        <v>0</v>
      </c>
    </row>
    <row r="46" spans="4:11" ht="15.75" thickBot="1" x14ac:dyDescent="0.3">
      <c r="D46">
        <f t="shared" si="0"/>
        <v>10</v>
      </c>
      <c r="E46">
        <f t="shared" si="1"/>
        <v>3000</v>
      </c>
      <c r="F46" s="11">
        <v>1</v>
      </c>
      <c r="G46">
        <f t="shared" si="6"/>
        <v>0</v>
      </c>
      <c r="H46">
        <f t="shared" si="2"/>
        <v>1</v>
      </c>
      <c r="I46" s="3">
        <f t="shared" si="3"/>
        <v>7.6923076923076916</v>
      </c>
      <c r="J46" s="6" t="s">
        <v>52</v>
      </c>
      <c r="K46" s="3">
        <f t="shared" si="4"/>
        <v>5.8461538461538458</v>
      </c>
    </row>
    <row r="47" spans="4:11" ht="15.75" thickTop="1" x14ac:dyDescent="0.25"/>
    <row r="48" spans="4:11" x14ac:dyDescent="0.25">
      <c r="D48" s="1" t="s">
        <v>63</v>
      </c>
    </row>
    <row r="49" spans="4:11" ht="15.75" thickBot="1" x14ac:dyDescent="0.3">
      <c r="D49" t="s">
        <v>42</v>
      </c>
      <c r="E49" s="11">
        <v>1</v>
      </c>
      <c r="F49" t="s">
        <v>60</v>
      </c>
      <c r="G49" s="11">
        <v>2.6</v>
      </c>
      <c r="H49" t="s">
        <v>61</v>
      </c>
      <c r="I49" s="11">
        <v>6</v>
      </c>
      <c r="J49" t="s">
        <v>43</v>
      </c>
      <c r="K49" s="11">
        <v>9</v>
      </c>
    </row>
    <row r="50" spans="4:11" ht="15.75" thickTop="1" x14ac:dyDescent="0.25">
      <c r="D50" t="s">
        <v>59</v>
      </c>
      <c r="E50" t="s">
        <v>62</v>
      </c>
      <c r="F50" t="s">
        <v>64</v>
      </c>
      <c r="G50" s="6" t="s">
        <v>27</v>
      </c>
    </row>
    <row r="51" spans="4:11" ht="15.75" thickBot="1" x14ac:dyDescent="0.3">
      <c r="D51" s="11">
        <v>0</v>
      </c>
      <c r="E51">
        <v>0</v>
      </c>
    </row>
    <row r="52" spans="4:11" ht="15.75" thickTop="1" x14ac:dyDescent="0.25">
      <c r="D52">
        <f t="shared" ref="D52:D63" si="7">D51+$E$49</f>
        <v>1</v>
      </c>
      <c r="E52" s="9">
        <f t="shared" ref="E52:E64" si="8">0.5+((1/3.14159)*(ATAN((D52-$I$49)/($G$49/2))))</f>
        <v>8.09675138252825E-2</v>
      </c>
      <c r="F52">
        <f t="shared" ref="F52:F64" si="9">E52*$K$49</f>
        <v>0.72870762442754256</v>
      </c>
    </row>
    <row r="53" spans="4:11" x14ac:dyDescent="0.25">
      <c r="D53">
        <f t="shared" si="7"/>
        <v>2</v>
      </c>
      <c r="E53" s="9">
        <f t="shared" si="8"/>
        <v>0.10002278218654936</v>
      </c>
      <c r="F53">
        <f t="shared" si="9"/>
        <v>0.90020503967894427</v>
      </c>
    </row>
    <row r="54" spans="4:11" x14ac:dyDescent="0.25">
      <c r="D54">
        <f t="shared" si="7"/>
        <v>3</v>
      </c>
      <c r="E54" s="9">
        <f t="shared" si="8"/>
        <v>0.13015909210177928</v>
      </c>
      <c r="F54">
        <f t="shared" si="9"/>
        <v>1.1714318289160135</v>
      </c>
    </row>
    <row r="55" spans="4:11" x14ac:dyDescent="0.25">
      <c r="D55">
        <f t="shared" si="7"/>
        <v>4</v>
      </c>
      <c r="E55" s="9">
        <f t="shared" si="8"/>
        <v>0.18346566350042082</v>
      </c>
      <c r="F55">
        <f t="shared" si="9"/>
        <v>1.6511909715037874</v>
      </c>
    </row>
    <row r="56" spans="4:11" x14ac:dyDescent="0.25">
      <c r="D56">
        <f t="shared" si="7"/>
        <v>5</v>
      </c>
      <c r="E56" s="9">
        <f t="shared" si="8"/>
        <v>0.29128542354618636</v>
      </c>
      <c r="F56">
        <f t="shared" si="9"/>
        <v>2.6215688119156773</v>
      </c>
    </row>
    <row r="57" spans="4:11" x14ac:dyDescent="0.25">
      <c r="D57">
        <f t="shared" si="7"/>
        <v>6</v>
      </c>
      <c r="E57" s="9">
        <f t="shared" si="8"/>
        <v>0.5</v>
      </c>
      <c r="F57">
        <f t="shared" si="9"/>
        <v>4.5</v>
      </c>
    </row>
    <row r="58" spans="4:11" x14ac:dyDescent="0.25">
      <c r="D58">
        <f t="shared" si="7"/>
        <v>7</v>
      </c>
      <c r="E58" s="9">
        <f t="shared" si="8"/>
        <v>0.70871457645381364</v>
      </c>
      <c r="F58">
        <f t="shared" si="9"/>
        <v>6.3784311880843223</v>
      </c>
    </row>
    <row r="59" spans="4:11" x14ac:dyDescent="0.25">
      <c r="D59">
        <f t="shared" si="7"/>
        <v>8</v>
      </c>
      <c r="E59" s="9">
        <f t="shared" si="8"/>
        <v>0.81653433649957918</v>
      </c>
      <c r="F59">
        <f t="shared" si="9"/>
        <v>7.3488090284962126</v>
      </c>
    </row>
    <row r="60" spans="4:11" x14ac:dyDescent="0.25">
      <c r="D60">
        <f t="shared" si="7"/>
        <v>9</v>
      </c>
      <c r="E60" s="9">
        <f t="shared" si="8"/>
        <v>0.86984090789822077</v>
      </c>
      <c r="F60">
        <f t="shared" si="9"/>
        <v>7.8285681710839867</v>
      </c>
    </row>
    <row r="61" spans="4:11" x14ac:dyDescent="0.25">
      <c r="D61">
        <f t="shared" si="7"/>
        <v>10</v>
      </c>
      <c r="E61" s="9">
        <f t="shared" si="8"/>
        <v>0.89997721781345064</v>
      </c>
      <c r="F61">
        <f t="shared" si="9"/>
        <v>8.0997949603210557</v>
      </c>
    </row>
    <row r="62" spans="4:11" x14ac:dyDescent="0.25">
      <c r="D62">
        <f t="shared" si="7"/>
        <v>11</v>
      </c>
      <c r="E62" s="9">
        <f t="shared" si="8"/>
        <v>0.91903248617471744</v>
      </c>
      <c r="F62">
        <f t="shared" si="9"/>
        <v>8.2712923755724574</v>
      </c>
    </row>
    <row r="63" spans="4:11" x14ac:dyDescent="0.25">
      <c r="D63">
        <f t="shared" si="7"/>
        <v>12</v>
      </c>
      <c r="E63" s="9">
        <f t="shared" si="8"/>
        <v>0.93208301676637906</v>
      </c>
      <c r="F63">
        <f t="shared" si="9"/>
        <v>8.3887471508974123</v>
      </c>
    </row>
    <row r="64" spans="4:11" ht="15.75" thickBot="1" x14ac:dyDescent="0.3">
      <c r="D64" s="11">
        <v>6</v>
      </c>
      <c r="E64" s="9">
        <f t="shared" si="8"/>
        <v>0.5</v>
      </c>
      <c r="F64" s="3">
        <f t="shared" si="9"/>
        <v>4.5</v>
      </c>
    </row>
    <row r="65" ht="15.75" thickTop="1" x14ac:dyDescent="0.25"/>
  </sheetData>
  <sheetProtection algorithmName="SHA-512" hashValue="P1P489haKhdd19QcDKy1HwK7XJuf26dmsNmfRgoJQxQVJaVsXj0ZwiWkI91/duoaZYap2UowM18ThWJh6NJR7w==" saltValue="ljEtUTpObnU1oyybnfEoK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2017-11-16T06:10:15Z</dcterms:created>
  <dcterms:modified xsi:type="dcterms:W3CDTF">2017-12-04T04:31:14Z</dcterms:modified>
</cp:coreProperties>
</file>