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attm\Dropbox\isdc\simulator\reactor\sim_v4\"/>
    </mc:Choice>
  </mc:AlternateContent>
  <bookViews>
    <workbookView xWindow="0" yWindow="0" windowWidth="12675" windowHeight="3795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E3" i="1"/>
  <c r="E2" i="1"/>
  <c r="E4" i="1"/>
  <c r="B10" i="1"/>
  <c r="F13" i="1"/>
  <c r="D13" i="1"/>
  <c r="B2" i="1"/>
  <c r="I4" i="1"/>
  <c r="B9" i="1"/>
  <c r="S10" i="1"/>
  <c r="T12" i="1"/>
  <c r="B30" i="1"/>
  <c r="C30" i="1"/>
  <c r="B26" i="1"/>
  <c r="C26" i="1"/>
  <c r="B22" i="1"/>
  <c r="C22" i="1"/>
  <c r="B18" i="1"/>
  <c r="C18" i="1"/>
  <c r="B46" i="1"/>
  <c r="C46" i="1"/>
  <c r="B47" i="1"/>
  <c r="C47" i="1"/>
  <c r="B41" i="1"/>
  <c r="C41" i="1"/>
  <c r="B36" i="1"/>
  <c r="C36" i="1"/>
  <c r="B35" i="1"/>
  <c r="C35" i="1"/>
  <c r="B33" i="1"/>
  <c r="C33" i="1"/>
  <c r="B29" i="1"/>
  <c r="C29" i="1"/>
  <c r="B25" i="1"/>
  <c r="C25" i="1"/>
  <c r="B21" i="1"/>
  <c r="C21" i="1"/>
  <c r="B17" i="1"/>
  <c r="C17" i="1"/>
  <c r="B32" i="1"/>
  <c r="C32" i="1"/>
  <c r="B28" i="1"/>
  <c r="C28" i="1"/>
  <c r="B24" i="1"/>
  <c r="C24" i="1"/>
  <c r="B20" i="1"/>
  <c r="C20" i="1"/>
  <c r="B50" i="1"/>
  <c r="C50" i="1"/>
  <c r="B42" i="1"/>
  <c r="C42" i="1"/>
  <c r="B45" i="1"/>
  <c r="C45" i="1"/>
  <c r="B44" i="1"/>
  <c r="C44" i="1"/>
  <c r="B40" i="1"/>
  <c r="C40" i="1"/>
  <c r="B39" i="1"/>
  <c r="C39" i="1"/>
  <c r="B16" i="1"/>
  <c r="C16" i="1"/>
  <c r="B38" i="1"/>
  <c r="C38" i="1"/>
  <c r="B23" i="1"/>
  <c r="C23" i="1"/>
  <c r="B43" i="1"/>
  <c r="C43" i="1"/>
  <c r="B48" i="1"/>
  <c r="C48" i="1"/>
  <c r="B19" i="1"/>
  <c r="C19" i="1"/>
  <c r="B37" i="1"/>
  <c r="C37" i="1"/>
  <c r="B27" i="1"/>
  <c r="C27" i="1"/>
  <c r="B31" i="1"/>
  <c r="C31" i="1"/>
  <c r="B34" i="1"/>
  <c r="C34" i="1"/>
  <c r="B49" i="1"/>
  <c r="C49" i="1"/>
  <c r="F22" i="1"/>
  <c r="G22" i="1"/>
  <c r="D22" i="1"/>
  <c r="E22" i="1"/>
  <c r="D27" i="1"/>
  <c r="E27" i="1"/>
  <c r="F27" i="1"/>
  <c r="G27" i="1"/>
  <c r="D42" i="1"/>
  <c r="E42" i="1"/>
  <c r="F25" i="1"/>
  <c r="G25" i="1"/>
  <c r="D25" i="1"/>
  <c r="E25" i="1"/>
  <c r="D37" i="1"/>
  <c r="E37" i="1"/>
  <c r="D40" i="1"/>
  <c r="E40" i="1"/>
  <c r="D32" i="1"/>
  <c r="E32" i="1"/>
  <c r="F32" i="1"/>
  <c r="G32" i="1"/>
  <c r="F29" i="1"/>
  <c r="G29" i="1"/>
  <c r="D29" i="1"/>
  <c r="E29" i="1"/>
  <c r="D41" i="1"/>
  <c r="E41" i="1"/>
  <c r="D34" i="1"/>
  <c r="E34" i="1"/>
  <c r="D19" i="1"/>
  <c r="E19" i="1"/>
  <c r="F19" i="1"/>
  <c r="G19" i="1"/>
  <c r="D38" i="1"/>
  <c r="E38" i="1"/>
  <c r="D44" i="1"/>
  <c r="E44" i="1"/>
  <c r="D20" i="1"/>
  <c r="E20" i="1"/>
  <c r="F20" i="1"/>
  <c r="G20" i="1"/>
  <c r="F17" i="1"/>
  <c r="G17" i="1"/>
  <c r="D17" i="1"/>
  <c r="E17" i="1"/>
  <c r="F33" i="1"/>
  <c r="G33" i="1"/>
  <c r="D33" i="1"/>
  <c r="E33" i="1"/>
  <c r="D47" i="1"/>
  <c r="E47" i="1"/>
  <c r="F26" i="1"/>
  <c r="G26" i="1"/>
  <c r="D26" i="1"/>
  <c r="E26" i="1"/>
  <c r="F39" i="1"/>
  <c r="G39" i="1"/>
  <c r="D39" i="1"/>
  <c r="E39" i="1"/>
  <c r="D28" i="1"/>
  <c r="E28" i="1"/>
  <c r="F28" i="1"/>
  <c r="G28" i="1"/>
  <c r="D49" i="1"/>
  <c r="E49" i="1"/>
  <c r="D23" i="1"/>
  <c r="E23" i="1"/>
  <c r="F23" i="1"/>
  <c r="G23" i="1"/>
  <c r="D50" i="1"/>
  <c r="E50" i="1"/>
  <c r="D31" i="1"/>
  <c r="E31" i="1"/>
  <c r="F31" i="1"/>
  <c r="G31" i="1"/>
  <c r="D48" i="1"/>
  <c r="E48" i="1"/>
  <c r="F16" i="1"/>
  <c r="D16" i="1"/>
  <c r="E16" i="1"/>
  <c r="D45" i="1"/>
  <c r="E45" i="1"/>
  <c r="D24" i="1"/>
  <c r="E24" i="1"/>
  <c r="F24" i="1"/>
  <c r="G24" i="1"/>
  <c r="F21" i="1"/>
  <c r="G21" i="1"/>
  <c r="D21" i="1"/>
  <c r="E21" i="1"/>
  <c r="F35" i="1"/>
  <c r="G35" i="1"/>
  <c r="D35" i="1"/>
  <c r="E35" i="1"/>
  <c r="D46" i="1"/>
  <c r="E46" i="1"/>
  <c r="F30" i="1"/>
  <c r="G30" i="1"/>
  <c r="D30" i="1"/>
  <c r="E30" i="1"/>
  <c r="D43" i="1"/>
  <c r="E43" i="1"/>
  <c r="D36" i="1"/>
  <c r="E36" i="1"/>
  <c r="F18" i="1"/>
  <c r="G18" i="1"/>
  <c r="D18" i="1"/>
  <c r="E18" i="1"/>
  <c r="Q25" i="1"/>
  <c r="Q29" i="1"/>
  <c r="Q33" i="1"/>
  <c r="Q37" i="1"/>
  <c r="Q41" i="1"/>
  <c r="S30" i="1"/>
  <c r="T30" i="1"/>
  <c r="U30" i="1"/>
  <c r="S26" i="1"/>
  <c r="T26" i="1"/>
  <c r="U26" i="1"/>
  <c r="S22" i="1"/>
  <c r="T22" i="1"/>
  <c r="U22" i="1"/>
  <c r="S18" i="1"/>
  <c r="T18" i="1"/>
  <c r="U18" i="1"/>
  <c r="S14" i="1"/>
  <c r="T14" i="1"/>
  <c r="U14" i="1"/>
  <c r="S45" i="1"/>
  <c r="T45" i="1"/>
  <c r="U45" i="1"/>
  <c r="S41" i="1"/>
  <c r="T41" i="1"/>
  <c r="U41" i="1"/>
  <c r="S36" i="1"/>
  <c r="T36" i="1"/>
  <c r="U36" i="1"/>
  <c r="S32" i="1"/>
  <c r="T32" i="1"/>
  <c r="U32" i="1"/>
  <c r="Q22" i="1"/>
  <c r="Q26" i="1"/>
  <c r="Q30" i="1"/>
  <c r="Q34" i="1"/>
  <c r="Q38" i="1"/>
  <c r="Q42" i="1"/>
  <c r="S31" i="1"/>
  <c r="T31" i="1"/>
  <c r="U31" i="1"/>
  <c r="S27" i="1"/>
  <c r="T27" i="1"/>
  <c r="U27" i="1"/>
  <c r="S23" i="1"/>
  <c r="T23" i="1"/>
  <c r="U23" i="1"/>
  <c r="S19" i="1"/>
  <c r="T19" i="1"/>
  <c r="U19" i="1"/>
  <c r="S15" i="1"/>
  <c r="T15" i="1"/>
  <c r="U15" i="1"/>
  <c r="S46" i="1"/>
  <c r="T46" i="1"/>
  <c r="U46" i="1"/>
  <c r="S42" i="1"/>
  <c r="T42" i="1"/>
  <c r="U42" i="1"/>
  <c r="S37" i="1"/>
  <c r="T37" i="1"/>
  <c r="U37" i="1"/>
  <c r="S33" i="1"/>
  <c r="T33" i="1"/>
  <c r="U33" i="1"/>
  <c r="Q23" i="1"/>
  <c r="Q27" i="1"/>
  <c r="Q31" i="1"/>
  <c r="Q35" i="1"/>
  <c r="Q39" i="1"/>
  <c r="S38" i="1"/>
  <c r="T38" i="1"/>
  <c r="U38" i="1"/>
  <c r="S28" i="1"/>
  <c r="T28" i="1"/>
  <c r="U28" i="1"/>
  <c r="S24" i="1"/>
  <c r="T24" i="1"/>
  <c r="U24" i="1"/>
  <c r="S20" i="1"/>
  <c r="T20" i="1"/>
  <c r="U20" i="1"/>
  <c r="S16" i="1"/>
  <c r="T16" i="1"/>
  <c r="U16" i="1"/>
  <c r="S47" i="1"/>
  <c r="T47" i="1"/>
  <c r="U47" i="1"/>
  <c r="S43" i="1"/>
  <c r="T43" i="1"/>
  <c r="U43" i="1"/>
  <c r="S39" i="1"/>
  <c r="T39" i="1"/>
  <c r="U39" i="1"/>
  <c r="S34" i="1"/>
  <c r="T34" i="1"/>
  <c r="U34" i="1"/>
  <c r="Q28" i="1"/>
  <c r="S21" i="1"/>
  <c r="T21" i="1"/>
  <c r="U21" i="1"/>
  <c r="S40" i="1"/>
  <c r="T40" i="1"/>
  <c r="U40" i="1"/>
  <c r="Q32" i="1"/>
  <c r="S25" i="1"/>
  <c r="T25" i="1"/>
  <c r="U25" i="1"/>
  <c r="S44" i="1"/>
  <c r="T44" i="1"/>
  <c r="U44" i="1"/>
  <c r="Q40" i="1"/>
  <c r="S17" i="1"/>
  <c r="T17" i="1"/>
  <c r="U17" i="1"/>
  <c r="S35" i="1"/>
  <c r="T35" i="1"/>
  <c r="U35" i="1"/>
  <c r="Q36" i="1"/>
  <c r="S29" i="1"/>
  <c r="T29" i="1"/>
  <c r="U29" i="1"/>
  <c r="S48" i="1"/>
  <c r="T48" i="1"/>
  <c r="U48" i="1"/>
  <c r="Q24" i="1"/>
  <c r="F46" i="1"/>
  <c r="G46" i="1"/>
  <c r="F45" i="1"/>
  <c r="G45" i="1"/>
  <c r="F37" i="1"/>
  <c r="G37" i="1"/>
  <c r="F50" i="1"/>
  <c r="G50" i="1"/>
  <c r="F36" i="1"/>
  <c r="G36" i="1"/>
  <c r="F38" i="1"/>
  <c r="G38" i="1"/>
  <c r="F34" i="1"/>
  <c r="G34" i="1"/>
  <c r="F40" i="1"/>
  <c r="G40" i="1"/>
  <c r="F43" i="1"/>
  <c r="G43" i="1"/>
  <c r="F48" i="1"/>
  <c r="G48" i="1"/>
  <c r="F49" i="1"/>
  <c r="G49" i="1"/>
  <c r="F47" i="1"/>
  <c r="G47" i="1"/>
  <c r="F44" i="1"/>
  <c r="G44" i="1"/>
  <c r="F41" i="1"/>
  <c r="G41" i="1"/>
  <c r="F42" i="1"/>
  <c r="G42" i="1"/>
  <c r="W48" i="1"/>
  <c r="V48" i="1"/>
  <c r="W34" i="1"/>
  <c r="V34" i="1"/>
  <c r="W38" i="1"/>
  <c r="V38" i="1"/>
  <c r="V42" i="1"/>
  <c r="W42" i="1"/>
  <c r="W45" i="1"/>
  <c r="V45" i="1"/>
  <c r="W29" i="1"/>
  <c r="V29" i="1"/>
  <c r="V40" i="1"/>
  <c r="W40" i="1"/>
  <c r="V39" i="1"/>
  <c r="W39" i="1"/>
  <c r="V20" i="1"/>
  <c r="W20" i="1"/>
  <c r="W46" i="1"/>
  <c r="V46" i="1"/>
  <c r="W27" i="1"/>
  <c r="V27" i="1"/>
  <c r="W32" i="1"/>
  <c r="V32" i="1"/>
  <c r="W14" i="1"/>
  <c r="V14" i="1"/>
  <c r="V30" i="1"/>
  <c r="W30" i="1"/>
  <c r="W44" i="1"/>
  <c r="V44" i="1"/>
  <c r="W43" i="1"/>
  <c r="V43" i="1"/>
  <c r="V15" i="1"/>
  <c r="W15" i="1"/>
  <c r="V18" i="1"/>
  <c r="W18" i="1"/>
  <c r="V21" i="1"/>
  <c r="W21" i="1"/>
  <c r="W24" i="1"/>
  <c r="V24" i="1"/>
  <c r="W33" i="1"/>
  <c r="V33" i="1"/>
  <c r="V31" i="1"/>
  <c r="W31" i="1"/>
  <c r="V36" i="1"/>
  <c r="W36" i="1"/>
  <c r="W35" i="1"/>
  <c r="V35" i="1"/>
  <c r="W25" i="1"/>
  <c r="V25" i="1"/>
  <c r="V47" i="1"/>
  <c r="W47" i="1"/>
  <c r="V28" i="1"/>
  <c r="W28" i="1"/>
  <c r="V37" i="1"/>
  <c r="W37" i="1"/>
  <c r="W19" i="1"/>
  <c r="V19" i="1"/>
  <c r="V41" i="1"/>
  <c r="W41" i="1"/>
  <c r="V22" i="1"/>
  <c r="W22" i="1"/>
  <c r="V17" i="1"/>
  <c r="W17" i="1"/>
  <c r="W16" i="1"/>
  <c r="V16" i="1"/>
  <c r="V23" i="1"/>
  <c r="W23" i="1"/>
  <c r="W26" i="1"/>
  <c r="V26" i="1"/>
</calcChain>
</file>

<file path=xl/comments1.xml><?xml version="1.0" encoding="utf-8"?>
<comments xmlns="http://schemas.openxmlformats.org/spreadsheetml/2006/main">
  <authors>
    <author>Matt Moran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is the base volume plus the additional volume added by the curve for the AFPF)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affects how steep the density response curve is (ie by how many degress the ignition temp shifts with density)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is a post-ignition modifier
</t>
        </r>
      </text>
    </comment>
  </commentList>
</comments>
</file>

<file path=xl/sharedStrings.xml><?xml version="1.0" encoding="utf-8"?>
<sst xmlns="http://schemas.openxmlformats.org/spreadsheetml/2006/main" count="55" uniqueCount="48">
  <si>
    <t>Major Radius</t>
  </si>
  <si>
    <t>Minor Radius</t>
  </si>
  <si>
    <t>CFP</t>
  </si>
  <si>
    <t>Base Vol</t>
  </si>
  <si>
    <t>eRV</t>
  </si>
  <si>
    <t>Plasma Density</t>
  </si>
  <si>
    <t>Fuel Plasma</t>
  </si>
  <si>
    <t>H Weight</t>
  </si>
  <si>
    <t>g/L</t>
  </si>
  <si>
    <r>
      <t>m</t>
    </r>
    <r>
      <rPr>
        <sz val="11"/>
        <color theme="1"/>
        <rFont val="Calibri"/>
        <family val="2"/>
      </rPr>
      <t>³</t>
    </r>
  </si>
  <si>
    <t>Density</t>
  </si>
  <si>
    <t>g</t>
  </si>
  <si>
    <t>Std Volume</t>
  </si>
  <si>
    <t>Plasma Temp</t>
  </si>
  <si>
    <t>Value</t>
  </si>
  <si>
    <t xml:space="preserve">Base </t>
  </si>
  <si>
    <t>Second Log</t>
  </si>
  <si>
    <t>Ignition</t>
  </si>
  <si>
    <t>Base Temp</t>
  </si>
  <si>
    <t>Mod</t>
  </si>
  <si>
    <t>Post Ig Mod</t>
  </si>
  <si>
    <t>Temp</t>
  </si>
  <si>
    <t>CT</t>
  </si>
  <si>
    <t>Mod CT</t>
  </si>
  <si>
    <t>Reactivity</t>
  </si>
  <si>
    <t>Energy Level</t>
  </si>
  <si>
    <t>Containment Time</t>
  </si>
  <si>
    <t>Curr Temp</t>
  </si>
  <si>
    <t>Input</t>
  </si>
  <si>
    <t>Wdith</t>
  </si>
  <si>
    <t>Centre</t>
  </si>
  <si>
    <t>Nominal</t>
  </si>
  <si>
    <t>Var</t>
  </si>
  <si>
    <t>Dist</t>
  </si>
  <si>
    <t>%age</t>
  </si>
  <si>
    <t>Temp Mod</t>
  </si>
  <si>
    <t>Trans Mod</t>
  </si>
  <si>
    <t>Prop. Energy Transferred</t>
  </si>
  <si>
    <t>Amount Energy Transferred (eV)</t>
  </si>
  <si>
    <t>Intens. Mod</t>
  </si>
  <si>
    <t>Torus Inner Radius</t>
  </si>
  <si>
    <t>Chamber Diameter</t>
  </si>
  <si>
    <t>Origin</t>
  </si>
  <si>
    <t>SegERV</t>
  </si>
  <si>
    <t>Plasma Burn</t>
  </si>
  <si>
    <t>Burn Mod</t>
  </si>
  <si>
    <t>Range</t>
  </si>
  <si>
    <t>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</si>
</sst>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2" borderId="0" applyNumberFormat="0" applyBorder="0" applyAlignment="0" applyProtection="0"/>
  </cellStyleXfs>
  <cellXfs count="8">
    <xf numFmtId="0" fontId="0" fillId="0" borderId="0" xfId="0"/>
    <xf numFmtId="0" fontId="1" fillId="0" borderId="1" xfId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0" xfId="2" applyProtection="1"/>
    <xf numFmtId="0" fontId="1" fillId="0" borderId="1" xfId="1"/>
    <xf numFmtId="0" fontId="2" fillId="0" borderId="0" xfId="0" applyFont="1"/>
  </cellXfs>
  <cellStyles count="3">
    <cellStyle name="Good" xfId="2" builtinId="26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Containment</a:t>
            </a:r>
            <a:r>
              <a:rPr lang="en-AU" baseline="0"/>
              <a:t> Time Profile @ 180mK Ignition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Sheet1!$A$16:$A$50</c:f>
              <c:numCache>
                <c:formatCode>General</c:formatCode>
                <c:ptCount val="35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</c:numCache>
            </c:numRef>
          </c:cat>
          <c:val>
            <c:numRef>
              <c:f>Sheet1!$G$17:$G$50</c:f>
              <c:numCache>
                <c:formatCode>General</c:formatCode>
                <c:ptCount val="34"/>
                <c:pt idx="0">
                  <c:v>-7.6382671605869854</c:v>
                </c:pt>
                <c:pt idx="1">
                  <c:v>-10.336919090522249</c:v>
                </c:pt>
                <c:pt idx="2">
                  <c:v>-11.931290901430593</c:v>
                </c:pt>
                <c:pt idx="3">
                  <c:v>-12.860213712955613</c:v>
                </c:pt>
                <c:pt idx="4">
                  <c:v>-13.319176964373767</c:v>
                </c:pt>
                <c:pt idx="5">
                  <c:v>-13.417888988569615</c:v>
                </c:pt>
                <c:pt idx="6">
                  <c:v>-13.226149304691809</c:v>
                </c:pt>
                <c:pt idx="7">
                  <c:v>-12.792057944581074</c:v>
                </c:pt>
                <c:pt idx="8">
                  <c:v>-12.150655863405774</c:v>
                </c:pt>
                <c:pt idx="9">
                  <c:v>-11.328539249125527</c:v>
                </c:pt>
                <c:pt idx="10">
                  <c:v>-10.346541834506709</c:v>
                </c:pt>
                <c:pt idx="11">
                  <c:v>-9.2213973637887392</c:v>
                </c:pt>
                <c:pt idx="12">
                  <c:v>-7.9668231172824306</c:v>
                </c:pt>
                <c:pt idx="13">
                  <c:v>-6.5942553500819656</c:v>
                </c:pt>
                <c:pt idx="14">
                  <c:v>-5.1133654543683633</c:v>
                </c:pt>
                <c:pt idx="15">
                  <c:v>-3.532432543297233</c:v>
                </c:pt>
                <c:pt idx="16">
                  <c:v>-1.8586189064535859</c:v>
                </c:pt>
                <c:pt idx="17">
                  <c:v>-9.8177901632368503E-2</c:v>
                </c:pt>
                <c:pt idx="18">
                  <c:v>0.52062575782395015</c:v>
                </c:pt>
                <c:pt idx="19">
                  <c:v>1.0504091304441943</c:v>
                </c:pt>
                <c:pt idx="20">
                  <c:v>1.5338446346833337</c:v>
                </c:pt>
                <c:pt idx="21">
                  <c:v>1.9552379887221889</c:v>
                </c:pt>
                <c:pt idx="22">
                  <c:v>2.3021080982121873</c:v>
                </c:pt>
                <c:pt idx="23">
                  <c:v>2.5636144786102193</c:v>
                </c:pt>
                <c:pt idx="24">
                  <c:v>2.7299201351914064</c:v>
                </c:pt>
                <c:pt idx="25">
                  <c:v>2.7918680258352992</c:v>
                </c:pt>
                <c:pt idx="26">
                  <c:v>2.7407932196541083</c:v>
                </c:pt>
                <c:pt idx="27">
                  <c:v>2.5684034458756173</c:v>
                </c:pt>
                <c:pt idx="28">
                  <c:v>2.2666979208674434</c:v>
                </c:pt>
                <c:pt idx="29">
                  <c:v>1.8279093313220187</c:v>
                </c:pt>
                <c:pt idx="30">
                  <c:v>1.2444606976974342</c:v>
                </c:pt>
                <c:pt idx="31">
                  <c:v>0.50893227393072493</c:v>
                </c:pt>
                <c:pt idx="32">
                  <c:v>-0.38596451006532106</c:v>
                </c:pt>
                <c:pt idx="33">
                  <c:v>-1.4474079981531531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E-46E5-B8D0-D28D50535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5135312"/>
        <c:axId val="1844059120"/>
      </c:lineChart>
      <c:catAx>
        <c:axId val="179513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Plasma</a:t>
                </a:r>
                <a:r>
                  <a:rPr lang="en-AU" baseline="0"/>
                  <a:t> Temp </a:t>
                </a:r>
                <a:r>
                  <a:rPr lang="en-AU"/>
                  <a:t>megaKelvins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059120"/>
        <c:crosses val="autoZero"/>
        <c:auto val="1"/>
        <c:lblAlgn val="ctr"/>
        <c:lblOffset val="100"/>
        <c:noMultiLvlLbl val="0"/>
      </c:catAx>
      <c:valAx>
        <c:axId val="18440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Containment</a:t>
                </a:r>
                <a:r>
                  <a:rPr lang="en-AU" baseline="0"/>
                  <a:t> Time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13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Reaction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Sheet1!$A$16:$A$50</c:f>
              <c:numCache>
                <c:formatCode>General</c:formatCode>
                <c:ptCount val="35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</c:numCache>
            </c:numRef>
          </c:cat>
          <c:val>
            <c:numRef>
              <c:f>Sheet1!$F$16:$F$50</c:f>
              <c:numCache>
                <c:formatCode>General</c:formatCode>
                <c:ptCount val="35"/>
                <c:pt idx="0">
                  <c:v>0</c:v>
                </c:pt>
                <c:pt idx="1">
                  <c:v>2.3617328394130146</c:v>
                </c:pt>
                <c:pt idx="2">
                  <c:v>9.6630809094777508</c:v>
                </c:pt>
                <c:pt idx="3">
                  <c:v>18.068709098569407</c:v>
                </c:pt>
                <c:pt idx="4">
                  <c:v>27.139786287044387</c:v>
                </c:pt>
                <c:pt idx="5">
                  <c:v>36.680823035626233</c:v>
                </c:pt>
                <c:pt idx="6">
                  <c:v>46.582111011430385</c:v>
                </c:pt>
                <c:pt idx="7">
                  <c:v>56.773850695308191</c:v>
                </c:pt>
                <c:pt idx="8">
                  <c:v>67.207942055418926</c:v>
                </c:pt>
                <c:pt idx="9">
                  <c:v>77.849344136594226</c:v>
                </c:pt>
                <c:pt idx="10">
                  <c:v>88.671460750874473</c:v>
                </c:pt>
                <c:pt idx="11">
                  <c:v>99.653458165493291</c:v>
                </c:pt>
                <c:pt idx="12">
                  <c:v>110.77860263621126</c:v>
                </c:pt>
                <c:pt idx="13">
                  <c:v>122.03317688271757</c:v>
                </c:pt>
                <c:pt idx="14">
                  <c:v>133.40574464991803</c:v>
                </c:pt>
                <c:pt idx="15">
                  <c:v>144.88663454563164</c:v>
                </c:pt>
                <c:pt idx="16">
                  <c:v>156.46756745670277</c:v>
                </c:pt>
                <c:pt idx="17">
                  <c:v>168.14138109354641</c:v>
                </c:pt>
                <c:pt idx="18">
                  <c:v>179.90182209836763</c:v>
                </c:pt>
                <c:pt idx="19">
                  <c:v>190.52062575782395</c:v>
                </c:pt>
                <c:pt idx="20">
                  <c:v>201.05040913044419</c:v>
                </c:pt>
                <c:pt idx="21">
                  <c:v>211.53384463468333</c:v>
                </c:pt>
                <c:pt idx="22">
                  <c:v>221.95523798872219</c:v>
                </c:pt>
                <c:pt idx="23">
                  <c:v>232.30210809821219</c:v>
                </c:pt>
                <c:pt idx="24">
                  <c:v>242.56361447861022</c:v>
                </c:pt>
                <c:pt idx="25">
                  <c:v>252.72992013519141</c:v>
                </c:pt>
                <c:pt idx="26">
                  <c:v>262.7918680258353</c:v>
                </c:pt>
                <c:pt idx="27">
                  <c:v>272.74079321965411</c:v>
                </c:pt>
                <c:pt idx="28">
                  <c:v>282.56840344587562</c:v>
                </c:pt>
                <c:pt idx="29">
                  <c:v>292.26669792086744</c:v>
                </c:pt>
                <c:pt idx="30">
                  <c:v>301.82790933132202</c:v>
                </c:pt>
                <c:pt idx="31">
                  <c:v>311.24446069769743</c:v>
                </c:pt>
                <c:pt idx="32">
                  <c:v>320.50893227393072</c:v>
                </c:pt>
                <c:pt idx="33">
                  <c:v>329.61403548993468</c:v>
                </c:pt>
                <c:pt idx="34">
                  <c:v>338.55259200184685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E-4BCC-A837-D83358FF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196256"/>
        <c:axId val="1844052640"/>
      </c:lineChart>
      <c:catAx>
        <c:axId val="179219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Plasma</a:t>
                </a:r>
                <a:r>
                  <a:rPr lang="en-AU" baseline="0"/>
                  <a:t> Temp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052640"/>
        <c:crosses val="autoZero"/>
        <c:auto val="1"/>
        <c:lblAlgn val="ctr"/>
        <c:lblOffset val="100"/>
        <c:noMultiLvlLbl val="0"/>
      </c:catAx>
      <c:valAx>
        <c:axId val="18440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Reaction</a:t>
                </a:r>
                <a:r>
                  <a:rPr lang="en-AU" baseline="0"/>
                  <a:t> Energy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19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Energy Transfer Profile @180</a:t>
            </a:r>
            <a:r>
              <a:rPr lang="en-AU">
                <a:latin typeface="Calibri" panose="020F0502020204030204" pitchFamily="34" charset="0"/>
                <a:cs typeface="Calibri" panose="020F0502020204030204" pitchFamily="34" charset="0"/>
              </a:rPr>
              <a:t>°mK Ignition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Sheet1!$R$14:$R$48</c:f>
              <c:numCache>
                <c:formatCode>General</c:formatCode>
                <c:ptCount val="35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</c:numCache>
            </c:numRef>
          </c:cat>
          <c:val>
            <c:numRef>
              <c:f>Sheet1!$W$14:$W$48</c:f>
              <c:numCache>
                <c:formatCode>General</c:formatCode>
                <c:ptCount val="35"/>
                <c:pt idx="0">
                  <c:v>10.541199702179416</c:v>
                </c:pt>
                <c:pt idx="1">
                  <c:v>11.545063682179324</c:v>
                </c:pt>
                <c:pt idx="2">
                  <c:v>12.828861660768787</c:v>
                </c:pt>
                <c:pt idx="3">
                  <c:v>14.32562749609731</c:v>
                </c:pt>
                <c:pt idx="4">
                  <c:v>16.081229517654037</c:v>
                </c:pt>
                <c:pt idx="5">
                  <c:v>18.153028113218088</c:v>
                </c:pt>
                <c:pt idx="6">
                  <c:v>20.61271096390227</c:v>
                </c:pt>
                <c:pt idx="7">
                  <c:v>23.549426381276657</c:v>
                </c:pt>
                <c:pt idx="8">
                  <c:v>27.072682951125149</c:v>
                </c:pt>
                <c:pt idx="9">
                  <c:v>31.313680379305115</c:v>
                </c:pt>
                <c:pt idx="10">
                  <c:v>36.422118775860838</c:v>
                </c:pt>
                <c:pt idx="11">
                  <c:v>42.552536337468261</c:v>
                </c:pt>
                <c:pt idx="12">
                  <c:v>49.829388486853873</c:v>
                </c:pt>
                <c:pt idx="13">
                  <c:v>58.274402661236259</c:v>
                </c:pt>
                <c:pt idx="14">
                  <c:v>67.679576442387329</c:v>
                </c:pt>
                <c:pt idx="15">
                  <c:v>77.432837328994182</c:v>
                </c:pt>
                <c:pt idx="16">
                  <c:v>86.378705099904707</c:v>
                </c:pt>
                <c:pt idx="17">
                  <c:v>92.910591589979731</c:v>
                </c:pt>
                <c:pt idx="18">
                  <c:v>95.485976807175916</c:v>
                </c:pt>
                <c:pt idx="19">
                  <c:v>93.405158732559727</c:v>
                </c:pt>
                <c:pt idx="20">
                  <c:v>87.237579111586683</c:v>
                </c:pt>
                <c:pt idx="21">
                  <c:v>78.471677018113567</c:v>
                </c:pt>
                <c:pt idx="22">
                  <c:v>68.740091653365837</c:v>
                </c:pt>
                <c:pt idx="23">
                  <c:v>59.258383881004086</c:v>
                </c:pt>
                <c:pt idx="24">
                  <c:v>50.693112384325389</c:v>
                </c:pt>
                <c:pt idx="25">
                  <c:v>43.287343872532581</c:v>
                </c:pt>
                <c:pt idx="26">
                  <c:v>37.037128054617362</c:v>
                </c:pt>
                <c:pt idx="27">
                  <c:v>31.824810676252746</c:v>
                </c:pt>
                <c:pt idx="28">
                  <c:v>27.496915958048746</c:v>
                </c:pt>
                <c:pt idx="29">
                  <c:v>23.902285726166532</c:v>
                </c:pt>
                <c:pt idx="30">
                  <c:v>20.907428619613068</c:v>
                </c:pt>
                <c:pt idx="31">
                  <c:v>18.400491543644502</c:v>
                </c:pt>
                <c:pt idx="32">
                  <c:v>16.290237988006741</c:v>
                </c:pt>
                <c:pt idx="33">
                  <c:v>14.503234030439813</c:v>
                </c:pt>
                <c:pt idx="34">
                  <c:v>12.980704933022654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1-423C-897A-EDB48FB58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5683968"/>
        <c:axId val="1069304880"/>
      </c:lineChart>
      <c:catAx>
        <c:axId val="855683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Plasma</a:t>
                </a:r>
                <a:r>
                  <a:rPr lang="en-AU" baseline="0"/>
                  <a:t> Temp </a:t>
                </a:r>
                <a:r>
                  <a:rPr lang="en-AU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°mK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304880"/>
        <c:crosses val="autoZero"/>
        <c:auto val="1"/>
        <c:lblAlgn val="ctr"/>
        <c:lblOffset val="100"/>
        <c:noMultiLvlLbl val="0"/>
      </c:catAx>
      <c:valAx>
        <c:axId val="10693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</a:t>
                </a:r>
                <a:r>
                  <a:rPr lang="en-AU" baseline="0"/>
                  <a:t> Energy Transfer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68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Sheet1!$Z$13</c:f>
              <c:strCache>
                <c:ptCount val="1"/>
                <c:pt idx="0">
                  <c:v>Plasma Burn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Sheet1!$Y$14:$Y$48</c:f>
              <c:numCache>
                <c:formatCode>General</c:formatCode>
                <c:ptCount val="35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</c:numCache>
            </c:numRef>
          </c:cat>
          <c:val>
            <c:numRef>
              <c:f>Sheet1!$Z$14:$Z$48</c:f>
              <c:numCache>
                <c:formatCode>General</c:formatCode>
                <c:ptCount val="35"/>
                <c:pt idx="0">
                  <c:v>2.5000000000000001E-9</c:v>
                </c:pt>
                <c:pt idx="1">
                  <c:v>2.5000000000000002E-6</c:v>
                </c:pt>
                <c:pt idx="2">
                  <c:v>2.0000000000000002E-5</c:v>
                </c:pt>
                <c:pt idx="3">
                  <c:v>6.7500000000000001E-5</c:v>
                </c:pt>
                <c:pt idx="4">
                  <c:v>1.6000000000000001E-4</c:v>
                </c:pt>
                <c:pt idx="5">
                  <c:v>3.1250000000000001E-4</c:v>
                </c:pt>
                <c:pt idx="6">
                  <c:v>5.4000000000000001E-4</c:v>
                </c:pt>
                <c:pt idx="7">
                  <c:v>8.5749999999999997E-4</c:v>
                </c:pt>
                <c:pt idx="8">
                  <c:v>1.2800000000000001E-3</c:v>
                </c:pt>
                <c:pt idx="9">
                  <c:v>1.8224999999999999E-3</c:v>
                </c:pt>
                <c:pt idx="10">
                  <c:v>2.5000000000000001E-3</c:v>
                </c:pt>
                <c:pt idx="11">
                  <c:v>3.3275000000000002E-3</c:v>
                </c:pt>
                <c:pt idx="12">
                  <c:v>4.3200000000000001E-3</c:v>
                </c:pt>
                <c:pt idx="13">
                  <c:v>5.4925E-3</c:v>
                </c:pt>
                <c:pt idx="14">
                  <c:v>6.8599999999999998E-3</c:v>
                </c:pt>
                <c:pt idx="15">
                  <c:v>8.4375000000000006E-3</c:v>
                </c:pt>
                <c:pt idx="16">
                  <c:v>1.0240000000000001E-2</c:v>
                </c:pt>
                <c:pt idx="17">
                  <c:v>1.22825E-2</c:v>
                </c:pt>
                <c:pt idx="18">
                  <c:v>1.4579999999999999E-2</c:v>
                </c:pt>
                <c:pt idx="19">
                  <c:v>1.71475E-2</c:v>
                </c:pt>
                <c:pt idx="20">
                  <c:v>0.02</c:v>
                </c:pt>
                <c:pt idx="21">
                  <c:v>2.3152499999999999E-2</c:v>
                </c:pt>
                <c:pt idx="22">
                  <c:v>2.6620000000000001E-2</c:v>
                </c:pt>
                <c:pt idx="23">
                  <c:v>3.04175E-2</c:v>
                </c:pt>
                <c:pt idx="24">
                  <c:v>3.456E-2</c:v>
                </c:pt>
                <c:pt idx="25">
                  <c:v>3.90625E-2</c:v>
                </c:pt>
                <c:pt idx="26">
                  <c:v>4.394E-2</c:v>
                </c:pt>
                <c:pt idx="27">
                  <c:v>4.9207500000000001E-2</c:v>
                </c:pt>
                <c:pt idx="28">
                  <c:v>5.4879999999999998E-2</c:v>
                </c:pt>
                <c:pt idx="29">
                  <c:v>6.0972499999999999E-2</c:v>
                </c:pt>
                <c:pt idx="30">
                  <c:v>6.7500000000000004E-2</c:v>
                </c:pt>
                <c:pt idx="31">
                  <c:v>7.4477500000000002E-2</c:v>
                </c:pt>
                <c:pt idx="32">
                  <c:v>8.1920000000000007E-2</c:v>
                </c:pt>
                <c:pt idx="33">
                  <c:v>8.9842500000000006E-2</c:v>
                </c:pt>
                <c:pt idx="34">
                  <c:v>9.826E-2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40-471A-900E-78835CEE0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520927"/>
        <c:axId val="131738319"/>
      </c:lineChart>
      <c:catAx>
        <c:axId val="2122520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Plasma Temp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38319"/>
        <c:crosses val="autoZero"/>
        <c:auto val="1"/>
        <c:lblAlgn val="ctr"/>
        <c:lblOffset val="100"/>
        <c:noMultiLvlLbl val="0"/>
      </c:catAx>
      <c:valAx>
        <c:axId val="13173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gm/m</a:t>
                </a:r>
                <a:r>
                  <a:rPr lang="en-AU" baseline="30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520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12</xdr:row>
      <xdr:rowOff>38100</xdr:rowOff>
    </xdr:from>
    <xdr:to>
      <xdr:col>15</xdr:col>
      <xdr:colOff>438150</xdr:colOff>
      <xdr:row>26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0DC3178-3AA5-4F43-8051-D84F36C8B3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27</xdr:row>
      <xdr:rowOff>104775</xdr:rowOff>
    </xdr:from>
    <xdr:to>
      <xdr:col>15</xdr:col>
      <xdr:colOff>457200</xdr:colOff>
      <xdr:row>41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39981B7-E319-41A1-B7AC-4C93B525C4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352425</xdr:colOff>
      <xdr:row>15</xdr:row>
      <xdr:rowOff>28575</xdr:rowOff>
    </xdr:from>
    <xdr:to>
      <xdr:col>34</xdr:col>
      <xdr:colOff>47625</xdr:colOff>
      <xdr:row>29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313445-A7FC-4A08-86E3-D7B5DC9BDB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381000</xdr:colOff>
      <xdr:row>31</xdr:row>
      <xdr:rowOff>109537</xdr:rowOff>
    </xdr:from>
    <xdr:to>
      <xdr:col>34</xdr:col>
      <xdr:colOff>76200</xdr:colOff>
      <xdr:row>45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B01336-0EFB-4767-9B40-494F37D3E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0"/>
  <sheetViews>
    <sheetView tabSelected="1" workbookViewId="0">
      <selection activeCell="V12" sqref="V12"/>
    </sheetView>
  </sheetViews>
  <sheetFormatPr defaultRowHeight="15" x14ac:dyDescent="0.25"/>
  <cols>
    <col min="1" max="1" width="12.140625" customWidth="1"/>
    <col min="6" max="6" width="11.85546875" customWidth="1"/>
    <col min="8" max="8" width="13.28515625" customWidth="1"/>
    <col min="18" max="18" width="11.140625" customWidth="1"/>
    <col min="21" max="21" width="14" customWidth="1"/>
    <col min="22" max="22" width="18.42578125" customWidth="1"/>
    <col min="26" max="26" width="12" bestFit="1" customWidth="1"/>
  </cols>
  <sheetData>
    <row r="1" spans="1:29" x14ac:dyDescent="0.25">
      <c r="A1" s="2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9" x14ac:dyDescent="0.25">
      <c r="A2" s="3" t="s">
        <v>0</v>
      </c>
      <c r="B2" s="3">
        <f>I2+I4+B3</f>
        <v>3.5000000000000004</v>
      </c>
      <c r="C2" s="3"/>
      <c r="D2" s="3" t="s">
        <v>3</v>
      </c>
      <c r="E2" s="3">
        <f>((PI()*POWER(B3,2))*(2*PI()*B2))/8</f>
        <v>3.9932419406807558</v>
      </c>
      <c r="F2" s="3"/>
      <c r="G2" s="3" t="s">
        <v>40</v>
      </c>
      <c r="H2" s="3"/>
      <c r="I2" s="3">
        <v>1.7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9" ht="15.75" thickBot="1" x14ac:dyDescent="0.3">
      <c r="A3" s="3" t="s">
        <v>1</v>
      </c>
      <c r="B3" s="1">
        <v>0.68</v>
      </c>
      <c r="C3" s="3"/>
      <c r="D3" s="3" t="s">
        <v>4</v>
      </c>
      <c r="E3" s="3">
        <f>(E2-(((B4-1)/3.14149)))/2</f>
        <v>1.840644029462005</v>
      </c>
      <c r="F3" s="3" t="s">
        <v>9</v>
      </c>
      <c r="G3" s="3" t="s">
        <v>41</v>
      </c>
      <c r="H3" s="3"/>
      <c r="I3" s="3">
        <v>3.6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9" ht="16.5" thickTop="1" thickBot="1" x14ac:dyDescent="0.3">
      <c r="A4" s="3" t="s">
        <v>2</v>
      </c>
      <c r="B4" s="1">
        <v>1.98</v>
      </c>
      <c r="C4" s="3"/>
      <c r="D4" s="3" t="s">
        <v>43</v>
      </c>
      <c r="E4" s="3">
        <f>E3*2</f>
        <v>3.68128805892401</v>
      </c>
      <c r="F4" s="3"/>
      <c r="G4" s="3" t="s">
        <v>42</v>
      </c>
      <c r="H4" s="3"/>
      <c r="I4" s="3">
        <f>(I3-(2*B3))/2</f>
        <v>1.1200000000000001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9" ht="15.75" thickTop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9" x14ac:dyDescent="0.25">
      <c r="A6" s="2" t="s">
        <v>5</v>
      </c>
      <c r="B6" s="3"/>
      <c r="C6" s="3"/>
      <c r="D6" s="3"/>
      <c r="E6" s="3" t="s">
        <v>44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9" ht="15.75" thickBot="1" x14ac:dyDescent="0.3">
      <c r="A7" s="3" t="s">
        <v>6</v>
      </c>
      <c r="B7" s="1">
        <v>11</v>
      </c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9" ht="15.75" thickTop="1" x14ac:dyDescent="0.25">
      <c r="A8" s="3" t="s">
        <v>7</v>
      </c>
      <c r="B8" s="3">
        <v>4.499732E-2</v>
      </c>
      <c r="C8" s="3" t="s">
        <v>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39</v>
      </c>
      <c r="U8" s="3"/>
      <c r="V8" s="3"/>
      <c r="W8" s="3"/>
      <c r="X8" s="3"/>
    </row>
    <row r="9" spans="1:29" ht="15.75" thickBot="1" x14ac:dyDescent="0.3">
      <c r="A9" s="3" t="s">
        <v>12</v>
      </c>
      <c r="B9" s="3">
        <f>B7*B8</f>
        <v>0.49497052000000002</v>
      </c>
      <c r="C9" s="3" t="s">
        <v>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 t="s">
        <v>13</v>
      </c>
      <c r="S9" s="3"/>
      <c r="T9" s="1">
        <v>5</v>
      </c>
      <c r="U9" s="3"/>
      <c r="V9" s="3"/>
      <c r="W9" s="3"/>
      <c r="X9" s="3"/>
      <c r="Y9" s="7" t="s">
        <v>44</v>
      </c>
    </row>
    <row r="10" spans="1:29" ht="15.75" thickTop="1" x14ac:dyDescent="0.25">
      <c r="A10" s="3" t="s">
        <v>10</v>
      </c>
      <c r="B10" s="3">
        <f>(B9/E4)*10</f>
        <v>1.3445579701379662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29</v>
      </c>
      <c r="S10" s="3">
        <f>T11*T9</f>
        <v>80</v>
      </c>
      <c r="T10" s="3" t="s">
        <v>30</v>
      </c>
      <c r="U10" s="3">
        <v>0</v>
      </c>
      <c r="V10" s="3"/>
      <c r="W10" s="3"/>
      <c r="X10" s="3"/>
    </row>
    <row r="11" spans="1:29" ht="15.75" thickBot="1" x14ac:dyDescent="0.3">
      <c r="A11" s="3"/>
      <c r="B11" s="3"/>
      <c r="C11" s="3" t="s">
        <v>18</v>
      </c>
      <c r="D11" s="1">
        <v>215</v>
      </c>
      <c r="E11" s="3" t="s">
        <v>19</v>
      </c>
      <c r="F11" s="1">
        <v>100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28</v>
      </c>
      <c r="T11" s="1">
        <v>16</v>
      </c>
      <c r="U11" s="3" t="s">
        <v>36</v>
      </c>
      <c r="V11" s="1">
        <v>3</v>
      </c>
      <c r="W11" s="3"/>
      <c r="X11" s="3"/>
      <c r="Z11" t="s">
        <v>47</v>
      </c>
      <c r="AA11">
        <v>3</v>
      </c>
    </row>
    <row r="12" spans="1:29" ht="16.5" thickTop="1" thickBot="1" x14ac:dyDescent="0.3">
      <c r="A12" s="2" t="s">
        <v>26</v>
      </c>
      <c r="B12" s="3"/>
      <c r="C12" s="3"/>
      <c r="D12" s="5" t="s">
        <v>17</v>
      </c>
      <c r="E12" s="3"/>
      <c r="F12" s="5" t="s"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 t="s">
        <v>31</v>
      </c>
      <c r="T12" s="3">
        <f>D13</f>
        <v>180.54420298620337</v>
      </c>
      <c r="U12" s="3" t="s">
        <v>35</v>
      </c>
      <c r="V12" s="1">
        <v>10</v>
      </c>
      <c r="W12" s="3"/>
      <c r="X12" s="3"/>
      <c r="Z12" t="s">
        <v>45</v>
      </c>
      <c r="AA12" s="6">
        <v>4</v>
      </c>
      <c r="AB12" t="s">
        <v>46</v>
      </c>
      <c r="AC12">
        <v>8</v>
      </c>
    </row>
    <row r="13" spans="1:29" ht="30.75" thickTop="1" x14ac:dyDescent="0.25">
      <c r="A13" s="3"/>
      <c r="B13" s="3" t="s">
        <v>14</v>
      </c>
      <c r="C13" s="3" t="s">
        <v>15</v>
      </c>
      <c r="D13" s="5">
        <f>D11-(F11*F13)</f>
        <v>180.54420298620337</v>
      </c>
      <c r="E13" s="3" t="s">
        <v>16</v>
      </c>
      <c r="F13" s="5">
        <f>B10-1</f>
        <v>0.34455797013796619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27</v>
      </c>
      <c r="S13" s="3" t="s">
        <v>32</v>
      </c>
      <c r="T13" s="3" t="s">
        <v>33</v>
      </c>
      <c r="U13" s="4" t="s">
        <v>37</v>
      </c>
      <c r="V13" s="4" t="s">
        <v>38</v>
      </c>
      <c r="W13" s="3" t="s">
        <v>34</v>
      </c>
      <c r="X13" s="3"/>
      <c r="Y13" s="3" t="s">
        <v>27</v>
      </c>
      <c r="Z13" t="s">
        <v>44</v>
      </c>
    </row>
    <row r="14" spans="1:29" ht="15.75" thickBot="1" x14ac:dyDescent="0.3">
      <c r="A14" s="3"/>
      <c r="B14" s="3"/>
      <c r="C14" s="3"/>
      <c r="D14" s="3"/>
      <c r="E14" s="3"/>
      <c r="F14" s="3" t="s">
        <v>19</v>
      </c>
      <c r="G14" s="1">
        <v>0.7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1</v>
      </c>
      <c r="S14" s="3">
        <f t="shared" ref="S14:S31" si="0">($T$12/$V$12)-(R14/$V$12)</f>
        <v>17.954420298620335</v>
      </c>
      <c r="T14" s="3">
        <f t="shared" ref="T14:T31" si="1">(1/3.14159)*(($S$10/2)/(((S14-$U$10)*(S14-$U$10))+($S$10/2)))</f>
        <v>3.513733234059805E-2</v>
      </c>
      <c r="U14" s="3">
        <f>T14*$V$11</f>
        <v>0.10541199702179416</v>
      </c>
      <c r="V14" s="3">
        <f>$T$11*U14</f>
        <v>1.6865919523487065</v>
      </c>
      <c r="W14" s="3">
        <f t="shared" ref="W14:W32" si="2">U14*100</f>
        <v>10.541199702179416</v>
      </c>
      <c r="X14" s="3"/>
      <c r="Y14" s="3">
        <v>1</v>
      </c>
      <c r="Z14">
        <f>POWER(R14,$AA$11)/($AA$12*POWER(10,$AC$12))</f>
        <v>2.5000000000000001E-9</v>
      </c>
    </row>
    <row r="15" spans="1:29" ht="15.75" thickTop="1" x14ac:dyDescent="0.25">
      <c r="A15" s="3" t="s">
        <v>21</v>
      </c>
      <c r="B15" s="3" t="s">
        <v>24</v>
      </c>
      <c r="C15" s="3"/>
      <c r="D15" s="3" t="s">
        <v>25</v>
      </c>
      <c r="E15" s="3" t="s">
        <v>22</v>
      </c>
      <c r="F15" s="3" t="s">
        <v>20</v>
      </c>
      <c r="G15" s="3" t="s">
        <v>23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10</v>
      </c>
      <c r="S15" s="3">
        <f t="shared" si="0"/>
        <v>17.054420298620336</v>
      </c>
      <c r="T15" s="3">
        <f t="shared" si="1"/>
        <v>3.8483545607264413E-2</v>
      </c>
      <c r="U15" s="3">
        <f t="shared" ref="U15:U48" si="3">T15*$V$11</f>
        <v>0.11545063682179324</v>
      </c>
      <c r="V15" s="3">
        <f t="shared" ref="V15:V48" si="4">$T$11*U15</f>
        <v>1.8472101891486918</v>
      </c>
      <c r="W15" s="3">
        <f t="shared" si="2"/>
        <v>11.545063682179324</v>
      </c>
      <c r="X15" s="3"/>
      <c r="Y15" s="3">
        <v>10</v>
      </c>
      <c r="Z15">
        <f t="shared" ref="Z15:Z48" si="5">POWER(R15,$AA$11)/($AA$12*POWER(10,$AC$12))</f>
        <v>2.5000000000000002E-6</v>
      </c>
    </row>
    <row r="16" spans="1:29" x14ac:dyDescent="0.25">
      <c r="A16" s="3">
        <v>1</v>
      </c>
      <c r="B16" s="3">
        <f t="shared" ref="B16:B41" si="6">LOG(A16,$D$13)</f>
        <v>0</v>
      </c>
      <c r="C16" s="3" t="e">
        <f t="shared" ref="C16:C41" si="7">LOG(B16,$D$13)/LOG($F$13,$D$13)</f>
        <v>#NUM!</v>
      </c>
      <c r="D16" s="3" t="e">
        <f t="shared" ref="D16:D41" si="8">A16-(A16*C16)</f>
        <v>#NUM!</v>
      </c>
      <c r="E16" s="3" t="e">
        <f>D16-A16</f>
        <v>#NUM!</v>
      </c>
      <c r="F16" s="3" t="e">
        <f>IF(C16&lt;0,A16-(A16*C16),A16-((A16*C16)/B16))</f>
        <v>#NUM!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20</v>
      </c>
      <c r="S16" s="3">
        <f t="shared" si="0"/>
        <v>16.054420298620336</v>
      </c>
      <c r="T16" s="3">
        <f t="shared" si="1"/>
        <v>4.276287220256262E-2</v>
      </c>
      <c r="U16" s="3">
        <f t="shared" si="3"/>
        <v>0.12828861660768787</v>
      </c>
      <c r="V16" s="3">
        <f t="shared" si="4"/>
        <v>2.0526178657230059</v>
      </c>
      <c r="W16" s="3">
        <f t="shared" si="2"/>
        <v>12.828861660768787</v>
      </c>
      <c r="X16" s="3"/>
      <c r="Y16" s="3">
        <v>20</v>
      </c>
      <c r="Z16">
        <f t="shared" si="5"/>
        <v>2.0000000000000002E-5</v>
      </c>
    </row>
    <row r="17" spans="1:26" x14ac:dyDescent="0.25">
      <c r="A17" s="3">
        <v>10</v>
      </c>
      <c r="B17" s="3">
        <f t="shared" si="6"/>
        <v>0.44314778449094255</v>
      </c>
      <c r="C17" s="3">
        <f t="shared" si="7"/>
        <v>0.76382671605869856</v>
      </c>
      <c r="D17" s="3">
        <f t="shared" si="8"/>
        <v>2.3617328394130146</v>
      </c>
      <c r="E17" s="3">
        <f t="shared" ref="E17:E41" si="9">D17-A17</f>
        <v>-7.6382671605869854</v>
      </c>
      <c r="F17" s="3">
        <f t="shared" ref="F17:F33" si="10">IF(C17&lt;0,D17-POWER(E17*$G$14,B17),A17-(A17*C17))</f>
        <v>2.3617328394130146</v>
      </c>
      <c r="G17" s="3">
        <f>F17-A17</f>
        <v>-7.6382671605869854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30</v>
      </c>
      <c r="S17" s="3">
        <f t="shared" si="0"/>
        <v>15.054420298620336</v>
      </c>
      <c r="T17" s="3">
        <f t="shared" si="1"/>
        <v>4.7752091653657694E-2</v>
      </c>
      <c r="U17" s="3">
        <f t="shared" si="3"/>
        <v>0.1432562749609731</v>
      </c>
      <c r="V17" s="3">
        <f t="shared" si="4"/>
        <v>2.2921003993755695</v>
      </c>
      <c r="W17" s="3">
        <f t="shared" si="2"/>
        <v>14.32562749609731</v>
      </c>
      <c r="X17" s="3"/>
      <c r="Y17" s="3">
        <v>30</v>
      </c>
      <c r="Z17">
        <f t="shared" si="5"/>
        <v>6.7500000000000001E-5</v>
      </c>
    </row>
    <row r="18" spans="1:26" x14ac:dyDescent="0.25">
      <c r="A18" s="3">
        <v>20</v>
      </c>
      <c r="B18" s="3">
        <f t="shared" si="6"/>
        <v>0.57654856013475375</v>
      </c>
      <c r="C18" s="3">
        <f t="shared" si="7"/>
        <v>0.51684595452611248</v>
      </c>
      <c r="D18" s="3">
        <f t="shared" si="8"/>
        <v>9.6630809094777508</v>
      </c>
      <c r="E18" s="3">
        <f t="shared" si="9"/>
        <v>-10.336919090522249</v>
      </c>
      <c r="F18" s="3">
        <f t="shared" si="10"/>
        <v>9.6630809094777508</v>
      </c>
      <c r="G18" s="3">
        <f t="shared" ref="G18:G41" si="11">F18-A18</f>
        <v>-10.336919090522249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40</v>
      </c>
      <c r="S18" s="3">
        <f t="shared" si="0"/>
        <v>14.054420298620336</v>
      </c>
      <c r="T18" s="3">
        <f t="shared" si="1"/>
        <v>5.3604098392180131E-2</v>
      </c>
      <c r="U18" s="3">
        <f t="shared" si="3"/>
        <v>0.16081229517654039</v>
      </c>
      <c r="V18" s="3">
        <f t="shared" si="4"/>
        <v>2.5729967228246462</v>
      </c>
      <c r="W18" s="3">
        <f t="shared" si="2"/>
        <v>16.081229517654037</v>
      </c>
      <c r="X18" s="3"/>
      <c r="Y18" s="3">
        <v>40</v>
      </c>
      <c r="Z18">
        <f t="shared" si="5"/>
        <v>1.6000000000000001E-4</v>
      </c>
    </row>
    <row r="19" spans="1:26" x14ac:dyDescent="0.25">
      <c r="A19" s="3">
        <v>30</v>
      </c>
      <c r="B19" s="3">
        <f t="shared" si="6"/>
        <v>0.65458301145349962</v>
      </c>
      <c r="C19" s="3">
        <f t="shared" si="7"/>
        <v>0.39770969671435308</v>
      </c>
      <c r="D19" s="3">
        <f t="shared" si="8"/>
        <v>18.068709098569407</v>
      </c>
      <c r="E19" s="3">
        <f t="shared" si="9"/>
        <v>-11.931290901430593</v>
      </c>
      <c r="F19" s="3">
        <f t="shared" si="10"/>
        <v>18.068709098569407</v>
      </c>
      <c r="G19" s="3">
        <f t="shared" si="11"/>
        <v>-11.931290901430593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50</v>
      </c>
      <c r="S19" s="3">
        <f t="shared" si="0"/>
        <v>13.054420298620336</v>
      </c>
      <c r="T19" s="3">
        <f t="shared" si="1"/>
        <v>6.0510093710726964E-2</v>
      </c>
      <c r="U19" s="3">
        <f t="shared" si="3"/>
        <v>0.18153028113218089</v>
      </c>
      <c r="V19" s="3">
        <f t="shared" si="4"/>
        <v>2.9044844981148943</v>
      </c>
      <c r="W19" s="3">
        <f t="shared" si="2"/>
        <v>18.153028113218088</v>
      </c>
      <c r="X19" s="3"/>
      <c r="Y19" s="3">
        <v>50</v>
      </c>
      <c r="Z19">
        <f t="shared" si="5"/>
        <v>3.1250000000000001E-4</v>
      </c>
    </row>
    <row r="20" spans="1:26" x14ac:dyDescent="0.25">
      <c r="A20" s="3">
        <v>40</v>
      </c>
      <c r="B20" s="3">
        <f t="shared" si="6"/>
        <v>0.70994933577856512</v>
      </c>
      <c r="C20" s="3">
        <f t="shared" si="7"/>
        <v>0.32150534282389037</v>
      </c>
      <c r="D20" s="3">
        <f t="shared" si="8"/>
        <v>27.139786287044387</v>
      </c>
      <c r="E20" s="3">
        <f t="shared" si="9"/>
        <v>-12.860213712955613</v>
      </c>
      <c r="F20" s="3">
        <f t="shared" si="10"/>
        <v>27.139786287044387</v>
      </c>
      <c r="G20" s="3">
        <f t="shared" si="11"/>
        <v>-12.860213712955613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60</v>
      </c>
      <c r="S20" s="3">
        <f t="shared" si="0"/>
        <v>12.054420298620336</v>
      </c>
      <c r="T20" s="3">
        <f t="shared" si="1"/>
        <v>6.8709036546340904E-2</v>
      </c>
      <c r="U20" s="3">
        <f t="shared" si="3"/>
        <v>0.2061271096390227</v>
      </c>
      <c r="V20" s="3">
        <f t="shared" si="4"/>
        <v>3.2980337542243632</v>
      </c>
      <c r="W20" s="3">
        <f t="shared" si="2"/>
        <v>20.61271096390227</v>
      </c>
      <c r="X20" s="3"/>
      <c r="Y20" s="3">
        <v>60</v>
      </c>
      <c r="Z20">
        <f t="shared" si="5"/>
        <v>5.4000000000000001E-4</v>
      </c>
    </row>
    <row r="21" spans="1:26" x14ac:dyDescent="0.25">
      <c r="A21" s="3">
        <v>50</v>
      </c>
      <c r="B21" s="3">
        <f t="shared" si="6"/>
        <v>0.75289479333807363</v>
      </c>
      <c r="C21" s="3">
        <f t="shared" si="7"/>
        <v>0.26638353928747527</v>
      </c>
      <c r="D21" s="3">
        <f t="shared" si="8"/>
        <v>36.680823035626233</v>
      </c>
      <c r="E21" s="3">
        <f t="shared" si="9"/>
        <v>-13.319176964373767</v>
      </c>
      <c r="F21" s="3">
        <f t="shared" si="10"/>
        <v>36.680823035626233</v>
      </c>
      <c r="G21" s="3">
        <f t="shared" si="11"/>
        <v>-13.319176964373767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70</v>
      </c>
      <c r="S21" s="3">
        <f t="shared" si="0"/>
        <v>11.054420298620336</v>
      </c>
      <c r="T21" s="3">
        <f t="shared" si="1"/>
        <v>7.8498087937588862E-2</v>
      </c>
      <c r="U21" s="3">
        <f t="shared" si="3"/>
        <v>0.23549426381276659</v>
      </c>
      <c r="V21" s="3">
        <f t="shared" si="4"/>
        <v>3.7679082210042654</v>
      </c>
      <c r="W21" s="3">
        <f t="shared" si="2"/>
        <v>23.549426381276657</v>
      </c>
      <c r="X21" s="3"/>
      <c r="Y21" s="3">
        <v>70</v>
      </c>
      <c r="Z21">
        <f t="shared" si="5"/>
        <v>8.5749999999999997E-4</v>
      </c>
    </row>
    <row r="22" spans="1:26" x14ac:dyDescent="0.25">
      <c r="A22" s="3">
        <v>60</v>
      </c>
      <c r="B22" s="3">
        <f t="shared" si="6"/>
        <v>0.78798378709731076</v>
      </c>
      <c r="C22" s="3">
        <f t="shared" si="7"/>
        <v>0.22363148314282696</v>
      </c>
      <c r="D22" s="3">
        <f t="shared" si="8"/>
        <v>46.582111011430385</v>
      </c>
      <c r="E22" s="3">
        <f t="shared" si="9"/>
        <v>-13.417888988569615</v>
      </c>
      <c r="F22" s="3">
        <f t="shared" si="10"/>
        <v>46.582111011430385</v>
      </c>
      <c r="G22" s="3">
        <f t="shared" si="11"/>
        <v>-13.417888988569615</v>
      </c>
      <c r="H22" s="3"/>
      <c r="I22" s="3"/>
      <c r="J22" s="3"/>
      <c r="K22" s="3"/>
      <c r="L22" s="3"/>
      <c r="M22" s="3"/>
      <c r="N22" s="3"/>
      <c r="O22" s="3"/>
      <c r="P22" s="3"/>
      <c r="Q22" s="3">
        <f t="shared" ref="Q22:Q31" si="12">(R22-$T$12)/$V$12</f>
        <v>-10.054420298620338</v>
      </c>
      <c r="R22" s="3">
        <v>80</v>
      </c>
      <c r="S22" s="3">
        <f t="shared" si="0"/>
        <v>10.054420298620336</v>
      </c>
      <c r="T22" s="3">
        <f t="shared" si="1"/>
        <v>9.0242276503750496E-2</v>
      </c>
      <c r="U22" s="3">
        <f t="shared" si="3"/>
        <v>0.27072682951125149</v>
      </c>
      <c r="V22" s="3">
        <f t="shared" si="4"/>
        <v>4.3316292721800238</v>
      </c>
      <c r="W22" s="3">
        <f t="shared" si="2"/>
        <v>27.072682951125149</v>
      </c>
      <c r="X22" s="3"/>
      <c r="Y22" s="3">
        <v>80</v>
      </c>
      <c r="Z22">
        <f t="shared" si="5"/>
        <v>1.2800000000000001E-3</v>
      </c>
    </row>
    <row r="23" spans="1:26" x14ac:dyDescent="0.25">
      <c r="A23" s="3">
        <v>70</v>
      </c>
      <c r="B23" s="3">
        <f t="shared" si="6"/>
        <v>0.8176511086008984</v>
      </c>
      <c r="C23" s="3">
        <f t="shared" si="7"/>
        <v>0.18894499006702581</v>
      </c>
      <c r="D23" s="3">
        <f t="shared" si="8"/>
        <v>56.773850695308191</v>
      </c>
      <c r="E23" s="3">
        <f t="shared" si="9"/>
        <v>-13.226149304691809</v>
      </c>
      <c r="F23" s="3">
        <f t="shared" si="10"/>
        <v>56.773850695308191</v>
      </c>
      <c r="G23" s="3">
        <f t="shared" si="11"/>
        <v>-13.226149304691809</v>
      </c>
      <c r="H23" s="3"/>
      <c r="I23" s="3"/>
      <c r="J23" s="3"/>
      <c r="K23" s="3"/>
      <c r="L23" s="3"/>
      <c r="M23" s="3"/>
      <c r="N23" s="3"/>
      <c r="O23" s="3"/>
      <c r="P23" s="3"/>
      <c r="Q23" s="3">
        <f t="shared" si="12"/>
        <v>-9.0544202986203377</v>
      </c>
      <c r="R23" s="3">
        <v>90</v>
      </c>
      <c r="S23" s="3">
        <f t="shared" si="0"/>
        <v>9.0544202986203359</v>
      </c>
      <c r="T23" s="3">
        <f t="shared" si="1"/>
        <v>0.10437893459768371</v>
      </c>
      <c r="U23" s="3">
        <f t="shared" si="3"/>
        <v>0.31313680379305114</v>
      </c>
      <c r="V23" s="3">
        <f t="shared" si="4"/>
        <v>5.0101888606888183</v>
      </c>
      <c r="W23" s="3">
        <f t="shared" si="2"/>
        <v>31.313680379305115</v>
      </c>
      <c r="X23" s="3"/>
      <c r="Y23" s="3">
        <v>90</v>
      </c>
      <c r="Z23">
        <f t="shared" si="5"/>
        <v>1.8224999999999999E-3</v>
      </c>
    </row>
    <row r="24" spans="1:26" x14ac:dyDescent="0.25">
      <c r="A24" s="3">
        <v>80</v>
      </c>
      <c r="B24" s="3">
        <f t="shared" si="6"/>
        <v>0.84335011142237626</v>
      </c>
      <c r="C24" s="3">
        <f t="shared" si="7"/>
        <v>0.15990072430726338</v>
      </c>
      <c r="D24" s="3">
        <f t="shared" si="8"/>
        <v>67.207942055418926</v>
      </c>
      <c r="E24" s="3">
        <f t="shared" si="9"/>
        <v>-12.792057944581074</v>
      </c>
      <c r="F24" s="3">
        <f t="shared" si="10"/>
        <v>67.207942055418926</v>
      </c>
      <c r="G24" s="3">
        <f t="shared" si="11"/>
        <v>-12.792057944581074</v>
      </c>
      <c r="H24" s="3"/>
      <c r="I24" s="3"/>
      <c r="J24" s="3"/>
      <c r="K24" s="3"/>
      <c r="L24" s="3"/>
      <c r="M24" s="3"/>
      <c r="N24" s="3"/>
      <c r="O24" s="3"/>
      <c r="P24" s="3"/>
      <c r="Q24" s="3">
        <f t="shared" si="12"/>
        <v>-8.0544202986203377</v>
      </c>
      <c r="R24" s="3">
        <v>100</v>
      </c>
      <c r="S24" s="3">
        <f t="shared" si="0"/>
        <v>8.0544202986203359</v>
      </c>
      <c r="T24" s="3">
        <f t="shared" si="1"/>
        <v>0.12140706258620279</v>
      </c>
      <c r="U24" s="3">
        <f t="shared" si="3"/>
        <v>0.36422118775860834</v>
      </c>
      <c r="V24" s="3">
        <f t="shared" si="4"/>
        <v>5.8275390041377335</v>
      </c>
      <c r="W24" s="3">
        <f t="shared" si="2"/>
        <v>36.422118775860838</v>
      </c>
      <c r="X24" s="3"/>
      <c r="Y24" s="3">
        <v>100</v>
      </c>
      <c r="Z24">
        <f t="shared" si="5"/>
        <v>2.5000000000000001E-3</v>
      </c>
    </row>
    <row r="25" spans="1:26" x14ac:dyDescent="0.25">
      <c r="A25" s="3">
        <v>90</v>
      </c>
      <c r="B25" s="3">
        <f t="shared" si="6"/>
        <v>0.86601823841605663</v>
      </c>
      <c r="C25" s="3">
        <f t="shared" si="7"/>
        <v>0.13500728737117523</v>
      </c>
      <c r="D25" s="3">
        <f t="shared" si="8"/>
        <v>77.849344136594226</v>
      </c>
      <c r="E25" s="3">
        <f t="shared" si="9"/>
        <v>-12.150655863405774</v>
      </c>
      <c r="F25" s="3">
        <f t="shared" si="10"/>
        <v>77.849344136594226</v>
      </c>
      <c r="G25" s="3">
        <f t="shared" si="11"/>
        <v>-12.150655863405774</v>
      </c>
      <c r="H25" s="3"/>
      <c r="I25" s="3"/>
      <c r="J25" s="3"/>
      <c r="K25" s="3"/>
      <c r="L25" s="3"/>
      <c r="M25" s="3"/>
      <c r="N25" s="3"/>
      <c r="O25" s="3"/>
      <c r="P25" s="3"/>
      <c r="Q25" s="3">
        <f t="shared" si="12"/>
        <v>-7.0544202986203377</v>
      </c>
      <c r="R25" s="3">
        <v>110</v>
      </c>
      <c r="S25" s="3">
        <f t="shared" si="0"/>
        <v>7.0544202986203359</v>
      </c>
      <c r="T25" s="3">
        <f t="shared" si="1"/>
        <v>0.14184178779156087</v>
      </c>
      <c r="U25" s="3">
        <f t="shared" si="3"/>
        <v>0.42552536337468261</v>
      </c>
      <c r="V25" s="3">
        <f t="shared" si="4"/>
        <v>6.8084058139949217</v>
      </c>
      <c r="W25" s="3">
        <f t="shared" si="2"/>
        <v>42.552536337468261</v>
      </c>
      <c r="X25" s="3"/>
      <c r="Y25" s="3">
        <v>110</v>
      </c>
      <c r="Z25">
        <f t="shared" si="5"/>
        <v>3.3275000000000002E-3</v>
      </c>
    </row>
    <row r="26" spans="1:26" x14ac:dyDescent="0.25">
      <c r="A26" s="3">
        <v>100</v>
      </c>
      <c r="B26" s="3">
        <f t="shared" si="6"/>
        <v>0.88629556898188511</v>
      </c>
      <c r="C26" s="3">
        <f t="shared" si="7"/>
        <v>0.1132853924912553</v>
      </c>
      <c r="D26" s="3">
        <f t="shared" si="8"/>
        <v>88.671460750874473</v>
      </c>
      <c r="E26" s="3">
        <f t="shared" si="9"/>
        <v>-11.328539249125527</v>
      </c>
      <c r="F26" s="3">
        <f t="shared" si="10"/>
        <v>88.671460750874473</v>
      </c>
      <c r="G26" s="3">
        <f t="shared" si="11"/>
        <v>-11.328539249125527</v>
      </c>
      <c r="H26" s="3"/>
      <c r="I26" s="3"/>
      <c r="J26" s="3"/>
      <c r="K26" s="3"/>
      <c r="L26" s="3"/>
      <c r="M26" s="3"/>
      <c r="N26" s="3"/>
      <c r="O26" s="3"/>
      <c r="P26" s="3"/>
      <c r="Q26" s="3">
        <f t="shared" si="12"/>
        <v>-6.0544202986203377</v>
      </c>
      <c r="R26" s="3">
        <v>120</v>
      </c>
      <c r="S26" s="3">
        <f t="shared" si="0"/>
        <v>6.0544202986203359</v>
      </c>
      <c r="T26" s="3">
        <f t="shared" si="1"/>
        <v>0.16609796162284624</v>
      </c>
      <c r="U26" s="3">
        <f t="shared" si="3"/>
        <v>0.49829388486853871</v>
      </c>
      <c r="V26" s="3">
        <f t="shared" si="4"/>
        <v>7.9727021578966193</v>
      </c>
      <c r="W26" s="3">
        <f t="shared" si="2"/>
        <v>49.829388486853873</v>
      </c>
      <c r="X26" s="3"/>
      <c r="Y26" s="3">
        <v>120</v>
      </c>
      <c r="Z26">
        <f t="shared" si="5"/>
        <v>4.3200000000000001E-3</v>
      </c>
    </row>
    <row r="27" spans="1:26" x14ac:dyDescent="0.25">
      <c r="A27" s="3">
        <v>110</v>
      </c>
      <c r="B27" s="3">
        <f t="shared" si="6"/>
        <v>0.90463864570388364</v>
      </c>
      <c r="C27" s="3">
        <f t="shared" si="7"/>
        <v>9.4059471222788307E-2</v>
      </c>
      <c r="D27" s="3">
        <f t="shared" si="8"/>
        <v>99.653458165493291</v>
      </c>
      <c r="E27" s="3">
        <f t="shared" si="9"/>
        <v>-10.346541834506709</v>
      </c>
      <c r="F27" s="3">
        <f t="shared" si="10"/>
        <v>99.653458165493291</v>
      </c>
      <c r="G27" s="3">
        <f t="shared" si="11"/>
        <v>-10.346541834506709</v>
      </c>
      <c r="H27" s="3"/>
      <c r="I27" s="3"/>
      <c r="J27" s="3"/>
      <c r="K27" s="3"/>
      <c r="L27" s="3"/>
      <c r="M27" s="3"/>
      <c r="N27" s="3"/>
      <c r="O27" s="3"/>
      <c r="P27" s="3"/>
      <c r="Q27" s="3">
        <f t="shared" si="12"/>
        <v>-5.0544202986203377</v>
      </c>
      <c r="R27" s="3">
        <v>130</v>
      </c>
      <c r="S27" s="3">
        <f t="shared" si="0"/>
        <v>5.0544202986203359</v>
      </c>
      <c r="T27" s="3">
        <f t="shared" si="1"/>
        <v>0.19424800887078753</v>
      </c>
      <c r="U27" s="3">
        <f t="shared" si="3"/>
        <v>0.58274402661236258</v>
      </c>
      <c r="V27" s="3">
        <f t="shared" si="4"/>
        <v>9.3239044257978012</v>
      </c>
      <c r="W27" s="3">
        <f t="shared" si="2"/>
        <v>58.274402661236259</v>
      </c>
      <c r="X27" s="3"/>
      <c r="Y27" s="3">
        <v>130</v>
      </c>
      <c r="Z27">
        <f t="shared" si="5"/>
        <v>5.4925E-3</v>
      </c>
    </row>
    <row r="28" spans="1:26" x14ac:dyDescent="0.25">
      <c r="A28" s="3">
        <v>120</v>
      </c>
      <c r="B28" s="3">
        <f t="shared" si="6"/>
        <v>0.92138456274112213</v>
      </c>
      <c r="C28" s="3">
        <f t="shared" si="7"/>
        <v>7.6844978031572808E-2</v>
      </c>
      <c r="D28" s="3">
        <f t="shared" si="8"/>
        <v>110.77860263621126</v>
      </c>
      <c r="E28" s="3">
        <f t="shared" si="9"/>
        <v>-9.2213973637887392</v>
      </c>
      <c r="F28" s="3">
        <f t="shared" si="10"/>
        <v>110.77860263621126</v>
      </c>
      <c r="G28" s="3">
        <f t="shared" si="11"/>
        <v>-9.2213973637887392</v>
      </c>
      <c r="H28" s="3"/>
      <c r="I28" s="3"/>
      <c r="J28" s="3"/>
      <c r="K28" s="3"/>
      <c r="L28" s="3"/>
      <c r="M28" s="3"/>
      <c r="N28" s="3"/>
      <c r="O28" s="3"/>
      <c r="P28" s="3"/>
      <c r="Q28" s="3">
        <f t="shared" si="12"/>
        <v>-4.0544202986203377</v>
      </c>
      <c r="R28" s="3">
        <v>140</v>
      </c>
      <c r="S28" s="3">
        <f t="shared" si="0"/>
        <v>4.0544202986203359</v>
      </c>
      <c r="T28" s="3">
        <f t="shared" si="1"/>
        <v>0.22559858814129113</v>
      </c>
      <c r="U28" s="3">
        <f t="shared" si="3"/>
        <v>0.67679576442387335</v>
      </c>
      <c r="V28" s="3">
        <f t="shared" si="4"/>
        <v>10.828732230781974</v>
      </c>
      <c r="W28" s="3">
        <f t="shared" si="2"/>
        <v>67.679576442387329</v>
      </c>
      <c r="X28" s="3"/>
      <c r="Y28" s="3">
        <v>140</v>
      </c>
      <c r="Z28">
        <f t="shared" si="5"/>
        <v>6.8599999999999998E-3</v>
      </c>
    </row>
    <row r="29" spans="1:26" x14ac:dyDescent="0.25">
      <c r="A29" s="3">
        <v>130</v>
      </c>
      <c r="B29" s="3">
        <f t="shared" si="6"/>
        <v>0.93678931311413061</v>
      </c>
      <c r="C29" s="3">
        <f t="shared" si="7"/>
        <v>6.1283254748326403E-2</v>
      </c>
      <c r="D29" s="3">
        <f t="shared" si="8"/>
        <v>122.03317688271757</v>
      </c>
      <c r="E29" s="3">
        <f t="shared" si="9"/>
        <v>-7.9668231172824306</v>
      </c>
      <c r="F29" s="3">
        <f t="shared" si="10"/>
        <v>122.03317688271757</v>
      </c>
      <c r="G29" s="3">
        <f t="shared" si="11"/>
        <v>-7.9668231172824306</v>
      </c>
      <c r="H29" s="3"/>
      <c r="I29" s="3"/>
      <c r="J29" s="3"/>
      <c r="K29" s="3"/>
      <c r="L29" s="3"/>
      <c r="M29" s="3"/>
      <c r="N29" s="3"/>
      <c r="O29" s="3"/>
      <c r="P29" s="3"/>
      <c r="Q29" s="3">
        <f t="shared" si="12"/>
        <v>-3.0544202986203373</v>
      </c>
      <c r="R29" s="3">
        <v>150</v>
      </c>
      <c r="S29" s="3">
        <f t="shared" si="0"/>
        <v>3.0544202986203359</v>
      </c>
      <c r="T29" s="3">
        <f t="shared" si="1"/>
        <v>0.25810945776331395</v>
      </c>
      <c r="U29" s="3">
        <f t="shared" si="3"/>
        <v>0.77432837328994186</v>
      </c>
      <c r="V29" s="3">
        <f t="shared" si="4"/>
        <v>12.38925397263907</v>
      </c>
      <c r="W29" s="3">
        <f t="shared" si="2"/>
        <v>77.432837328994182</v>
      </c>
      <c r="X29" s="3"/>
      <c r="Y29" s="3">
        <v>150</v>
      </c>
      <c r="Z29">
        <f t="shared" si="5"/>
        <v>8.4375000000000006E-3</v>
      </c>
    </row>
    <row r="30" spans="1:26" x14ac:dyDescent="0.25">
      <c r="A30" s="3">
        <v>140</v>
      </c>
      <c r="B30" s="3">
        <f t="shared" si="6"/>
        <v>0.95105188424470954</v>
      </c>
      <c r="C30" s="3">
        <f t="shared" si="7"/>
        <v>4.7101823929156801E-2</v>
      </c>
      <c r="D30" s="3">
        <f t="shared" si="8"/>
        <v>133.40574464991803</v>
      </c>
      <c r="E30" s="3">
        <f t="shared" si="9"/>
        <v>-6.5942553500819656</v>
      </c>
      <c r="F30" s="3">
        <f t="shared" si="10"/>
        <v>133.40574464991803</v>
      </c>
      <c r="G30" s="3">
        <f t="shared" si="11"/>
        <v>-6.5942553500819656</v>
      </c>
      <c r="H30" s="3"/>
      <c r="I30" s="3"/>
      <c r="J30" s="3"/>
      <c r="K30" s="3"/>
      <c r="L30" s="3"/>
      <c r="M30" s="3"/>
      <c r="N30" s="3"/>
      <c r="O30" s="3"/>
      <c r="P30" s="3"/>
      <c r="Q30" s="3">
        <f t="shared" si="12"/>
        <v>-2.0544202986203373</v>
      </c>
      <c r="R30" s="3">
        <v>160</v>
      </c>
      <c r="S30" s="3">
        <f t="shared" si="0"/>
        <v>2.0544202986203359</v>
      </c>
      <c r="T30" s="3">
        <f t="shared" si="1"/>
        <v>0.28792901699968237</v>
      </c>
      <c r="U30" s="3">
        <f t="shared" si="3"/>
        <v>0.86378705099904707</v>
      </c>
      <c r="V30" s="3">
        <f t="shared" si="4"/>
        <v>13.820592815984753</v>
      </c>
      <c r="W30" s="3">
        <f t="shared" si="2"/>
        <v>86.378705099904707</v>
      </c>
      <c r="X30" s="3"/>
      <c r="Y30" s="3">
        <v>160</v>
      </c>
      <c r="Z30">
        <f t="shared" si="5"/>
        <v>1.0240000000000001E-2</v>
      </c>
    </row>
    <row r="31" spans="1:26" x14ac:dyDescent="0.25">
      <c r="A31" s="3">
        <v>150</v>
      </c>
      <c r="B31" s="3">
        <f t="shared" si="6"/>
        <v>0.96433002030063075</v>
      </c>
      <c r="C31" s="3">
        <f t="shared" si="7"/>
        <v>3.4089103029122374E-2</v>
      </c>
      <c r="D31" s="3">
        <f t="shared" si="8"/>
        <v>144.88663454563164</v>
      </c>
      <c r="E31" s="3">
        <f t="shared" si="9"/>
        <v>-5.1133654543683633</v>
      </c>
      <c r="F31" s="3">
        <f t="shared" si="10"/>
        <v>144.88663454563164</v>
      </c>
      <c r="G31" s="3">
        <f t="shared" si="11"/>
        <v>-5.1133654543683633</v>
      </c>
      <c r="H31" s="3"/>
      <c r="I31" s="3"/>
      <c r="J31" s="3"/>
      <c r="K31" s="3"/>
      <c r="L31" s="3"/>
      <c r="M31" s="3"/>
      <c r="N31" s="3"/>
      <c r="O31" s="3"/>
      <c r="P31" s="3"/>
      <c r="Q31" s="3">
        <f t="shared" si="12"/>
        <v>-1.0544202986203373</v>
      </c>
      <c r="R31" s="3">
        <v>170</v>
      </c>
      <c r="S31" s="3">
        <f t="shared" si="0"/>
        <v>1.0544202986203359</v>
      </c>
      <c r="T31" s="3">
        <f t="shared" si="1"/>
        <v>0.3097019719665991</v>
      </c>
      <c r="U31" s="3">
        <f t="shared" si="3"/>
        <v>0.9291059158997973</v>
      </c>
      <c r="V31" s="3">
        <f t="shared" si="4"/>
        <v>14.865694654396757</v>
      </c>
      <c r="W31" s="3">
        <f t="shared" si="2"/>
        <v>92.910591589979731</v>
      </c>
      <c r="X31" s="3"/>
      <c r="Y31" s="3">
        <v>170</v>
      </c>
      <c r="Z31">
        <f t="shared" si="5"/>
        <v>1.22825E-2</v>
      </c>
    </row>
    <row r="32" spans="1:26" x14ac:dyDescent="0.25">
      <c r="A32" s="3">
        <v>160</v>
      </c>
      <c r="B32" s="3">
        <f t="shared" si="6"/>
        <v>0.97675088706618762</v>
      </c>
      <c r="C32" s="3">
        <f t="shared" si="7"/>
        <v>2.2077703395607752E-2</v>
      </c>
      <c r="D32" s="3">
        <f t="shared" si="8"/>
        <v>156.46756745670277</v>
      </c>
      <c r="E32" s="3">
        <f t="shared" si="9"/>
        <v>-3.532432543297233</v>
      </c>
      <c r="F32" s="3">
        <f t="shared" si="10"/>
        <v>156.46756745670277</v>
      </c>
      <c r="G32" s="3">
        <f t="shared" si="11"/>
        <v>-3.532432543297233</v>
      </c>
      <c r="H32" s="3"/>
      <c r="I32" s="3"/>
      <c r="J32" s="3"/>
      <c r="K32" s="3"/>
      <c r="L32" s="3"/>
      <c r="M32" s="3"/>
      <c r="N32" s="3"/>
      <c r="O32" s="3"/>
      <c r="P32" s="3"/>
      <c r="Q32" s="3">
        <f>(R32-$T$12)/$V$12</f>
        <v>-5.442029862033735E-2</v>
      </c>
      <c r="R32" s="3">
        <v>180</v>
      </c>
      <c r="S32" s="3">
        <f>($T$12/$V$12)-(R32/$V$12)</f>
        <v>5.4420298620335927E-2</v>
      </c>
      <c r="T32" s="3">
        <f>(1/3.14159)*(($S$10/2)/(((S32-$U$10)*(S32-$U$10))+($S$10/2)))</f>
        <v>0.31828658935725307</v>
      </c>
      <c r="U32" s="3">
        <f t="shared" si="3"/>
        <v>0.95485976807175921</v>
      </c>
      <c r="V32" s="3">
        <f t="shared" si="4"/>
        <v>15.277756289148147</v>
      </c>
      <c r="W32" s="3">
        <f t="shared" si="2"/>
        <v>95.485976807175916</v>
      </c>
      <c r="X32" s="3"/>
      <c r="Y32" s="3">
        <v>180</v>
      </c>
      <c r="Z32">
        <f t="shared" si="5"/>
        <v>1.4579999999999999E-2</v>
      </c>
    </row>
    <row r="33" spans="1:26" x14ac:dyDescent="0.25">
      <c r="A33" s="3">
        <v>170</v>
      </c>
      <c r="B33" s="3">
        <f t="shared" si="6"/>
        <v>0.9884184979289945</v>
      </c>
      <c r="C33" s="3">
        <f t="shared" si="7"/>
        <v>1.0933052390903381E-2</v>
      </c>
      <c r="D33" s="3">
        <f t="shared" si="8"/>
        <v>168.14138109354641</v>
      </c>
      <c r="E33" s="3">
        <f t="shared" si="9"/>
        <v>-1.8586189064535859</v>
      </c>
      <c r="F33" s="3">
        <f t="shared" si="10"/>
        <v>168.14138109354641</v>
      </c>
      <c r="G33" s="3">
        <f t="shared" si="11"/>
        <v>-1.8586189064535859</v>
      </c>
      <c r="H33" s="3"/>
      <c r="I33" s="3"/>
      <c r="J33" s="3"/>
      <c r="K33" s="3"/>
      <c r="L33" s="3"/>
      <c r="M33" s="3"/>
      <c r="N33" s="3"/>
      <c r="O33" s="3"/>
      <c r="P33" s="3"/>
      <c r="Q33" s="3">
        <f t="shared" ref="Q33:Q42" si="13">(R33-$T$12)/$V$12</f>
        <v>0.94557970137966263</v>
      </c>
      <c r="R33" s="3">
        <v>190</v>
      </c>
      <c r="S33" s="3">
        <f t="shared" ref="S33:S48" si="14">($T$12/$V$12)-(R33/$V$12)</f>
        <v>-0.94557970137966407</v>
      </c>
      <c r="T33" s="3">
        <f t="shared" ref="T33:T48" si="15">(1/3.14159)*(($S$10/2)/(((S33-$U$10)*(S33-$U$10))+($S$10/2)))</f>
        <v>0.31135052910853239</v>
      </c>
      <c r="U33" s="3">
        <f t="shared" si="3"/>
        <v>0.93405158732559723</v>
      </c>
      <c r="V33" s="3">
        <f t="shared" si="4"/>
        <v>14.944825397209556</v>
      </c>
      <c r="W33" s="3">
        <f>U33*100</f>
        <v>93.405158732559727</v>
      </c>
      <c r="X33" s="3"/>
      <c r="Y33" s="3">
        <v>190</v>
      </c>
      <c r="Z33">
        <f t="shared" si="5"/>
        <v>1.71475E-2</v>
      </c>
    </row>
    <row r="34" spans="1:26" x14ac:dyDescent="0.25">
      <c r="A34" s="3">
        <v>180</v>
      </c>
      <c r="B34" s="3">
        <f t="shared" si="6"/>
        <v>0.99941901405986788</v>
      </c>
      <c r="C34" s="3">
        <f t="shared" si="7"/>
        <v>5.4543278684643815E-4</v>
      </c>
      <c r="D34" s="3">
        <f t="shared" si="8"/>
        <v>179.90182209836763</v>
      </c>
      <c r="E34" s="3">
        <f t="shared" si="9"/>
        <v>-9.8177901632368503E-2</v>
      </c>
      <c r="F34" s="3">
        <f>IF(C34&lt;0,D34-POWER(E34*$G$14,B34),A34-(A34*C34))</f>
        <v>179.90182209836763</v>
      </c>
      <c r="G34" s="3">
        <f t="shared" si="11"/>
        <v>-9.8177901632368503E-2</v>
      </c>
      <c r="H34" s="3"/>
      <c r="I34" s="3"/>
      <c r="J34" s="3"/>
      <c r="K34" s="3"/>
      <c r="L34" s="3"/>
      <c r="M34" s="3"/>
      <c r="N34" s="3"/>
      <c r="O34" s="3"/>
      <c r="P34" s="3"/>
      <c r="Q34" s="3">
        <f t="shared" si="13"/>
        <v>1.9455797013796627</v>
      </c>
      <c r="R34" s="3">
        <v>200</v>
      </c>
      <c r="S34" s="3">
        <f t="shared" si="14"/>
        <v>-1.9455797013796641</v>
      </c>
      <c r="T34" s="3">
        <f t="shared" si="15"/>
        <v>0.29079193037195561</v>
      </c>
      <c r="U34" s="3">
        <f t="shared" si="3"/>
        <v>0.87237579111586683</v>
      </c>
      <c r="V34" s="3">
        <f t="shared" si="4"/>
        <v>13.958012657853869</v>
      </c>
      <c r="W34" s="3">
        <f t="shared" ref="W34:W48" si="16">U34*100</f>
        <v>87.237579111586683</v>
      </c>
      <c r="X34" s="3"/>
      <c r="Y34" s="3">
        <v>200</v>
      </c>
      <c r="Z34">
        <f t="shared" si="5"/>
        <v>0.02</v>
      </c>
    </row>
    <row r="35" spans="1:26" x14ac:dyDescent="0.25">
      <c r="A35" s="3">
        <v>190</v>
      </c>
      <c r="B35" s="3">
        <f t="shared" si="6"/>
        <v>1.0098246096630035</v>
      </c>
      <c r="C35" s="3">
        <f t="shared" si="7"/>
        <v>-9.175717364797692E-3</v>
      </c>
      <c r="D35" s="3">
        <f t="shared" si="8"/>
        <v>191.74338629931157</v>
      </c>
      <c r="E35" s="3">
        <f t="shared" si="9"/>
        <v>1.7433862993115667</v>
      </c>
      <c r="F35" s="3">
        <f t="shared" ref="F35:F41" si="17">IF(C35&lt;0,D35-POWER(E35*$G$14,B35),A35-(A35*C35))</f>
        <v>190.52062575782395</v>
      </c>
      <c r="G35" s="3">
        <f t="shared" si="11"/>
        <v>0.52062575782395015</v>
      </c>
      <c r="H35" s="3"/>
      <c r="I35" s="3"/>
      <c r="J35" s="3"/>
      <c r="K35" s="3"/>
      <c r="L35" s="3"/>
      <c r="M35" s="3"/>
      <c r="N35" s="3"/>
      <c r="O35" s="3"/>
      <c r="P35" s="3"/>
      <c r="Q35" s="3">
        <f t="shared" si="13"/>
        <v>2.9455797013796627</v>
      </c>
      <c r="R35" s="3">
        <v>210</v>
      </c>
      <c r="S35" s="3">
        <f t="shared" si="14"/>
        <v>-2.9455797013796641</v>
      </c>
      <c r="T35" s="3">
        <f t="shared" si="15"/>
        <v>0.26157225672704526</v>
      </c>
      <c r="U35" s="3">
        <f t="shared" si="3"/>
        <v>0.78471677018113573</v>
      </c>
      <c r="V35" s="3">
        <f t="shared" si="4"/>
        <v>12.555468322898172</v>
      </c>
      <c r="W35" s="3">
        <f t="shared" si="16"/>
        <v>78.471677018113567</v>
      </c>
      <c r="X35" s="3"/>
      <c r="Y35" s="3">
        <v>210</v>
      </c>
      <c r="Z35">
        <f t="shared" si="5"/>
        <v>2.3152499999999999E-2</v>
      </c>
    </row>
    <row r="36" spans="1:26" x14ac:dyDescent="0.25">
      <c r="A36" s="3">
        <v>200</v>
      </c>
      <c r="B36" s="3">
        <f t="shared" si="6"/>
        <v>1.0196963446256961</v>
      </c>
      <c r="C36" s="3">
        <f t="shared" si="7"/>
        <v>-1.8305970024132059E-2</v>
      </c>
      <c r="D36" s="3">
        <f t="shared" si="8"/>
        <v>203.6611940048264</v>
      </c>
      <c r="E36" s="3">
        <f t="shared" si="9"/>
        <v>3.6611940048263989</v>
      </c>
      <c r="F36" s="3">
        <f t="shared" si="17"/>
        <v>201.05040913044419</v>
      </c>
      <c r="G36" s="3">
        <f t="shared" si="11"/>
        <v>1.0504091304441943</v>
      </c>
      <c r="H36" s="3"/>
      <c r="I36" s="3"/>
      <c r="J36" s="3"/>
      <c r="K36" s="3"/>
      <c r="L36" s="3"/>
      <c r="M36" s="3"/>
      <c r="N36" s="3"/>
      <c r="O36" s="3"/>
      <c r="P36" s="3"/>
      <c r="Q36" s="3">
        <f t="shared" si="13"/>
        <v>3.9455797013796627</v>
      </c>
      <c r="R36" s="3">
        <v>220</v>
      </c>
      <c r="S36" s="3">
        <f t="shared" si="14"/>
        <v>-3.9455797013796641</v>
      </c>
      <c r="T36" s="3">
        <f t="shared" si="15"/>
        <v>0.22913363884455276</v>
      </c>
      <c r="U36" s="3">
        <f t="shared" si="3"/>
        <v>0.68740091653365831</v>
      </c>
      <c r="V36" s="3">
        <f t="shared" si="4"/>
        <v>10.998414664538533</v>
      </c>
      <c r="W36" s="3">
        <f t="shared" si="16"/>
        <v>68.740091653365837</v>
      </c>
      <c r="X36" s="3"/>
      <c r="Y36" s="3">
        <v>220</v>
      </c>
      <c r="Z36">
        <f t="shared" si="5"/>
        <v>2.6620000000000001E-2</v>
      </c>
    </row>
    <row r="37" spans="1:26" x14ac:dyDescent="0.25">
      <c r="A37" s="3">
        <v>210</v>
      </c>
      <c r="B37" s="3">
        <f t="shared" si="6"/>
        <v>1.0290863355634552</v>
      </c>
      <c r="C37" s="3">
        <f t="shared" si="7"/>
        <v>-2.6909006089606242E-2</v>
      </c>
      <c r="D37" s="3">
        <f t="shared" si="8"/>
        <v>215.65089127881731</v>
      </c>
      <c r="E37" s="3">
        <f t="shared" si="9"/>
        <v>5.650891278817312</v>
      </c>
      <c r="F37" s="3">
        <f t="shared" si="17"/>
        <v>211.53384463468333</v>
      </c>
      <c r="G37" s="3">
        <f t="shared" si="11"/>
        <v>1.5338446346833337</v>
      </c>
      <c r="H37" s="3"/>
      <c r="I37" s="3"/>
      <c r="J37" s="3"/>
      <c r="K37" s="3"/>
      <c r="L37" s="3"/>
      <c r="M37" s="3"/>
      <c r="N37" s="3"/>
      <c r="O37" s="3"/>
      <c r="P37" s="3"/>
      <c r="Q37" s="3">
        <f t="shared" si="13"/>
        <v>4.9455797013796623</v>
      </c>
      <c r="R37" s="3">
        <v>230</v>
      </c>
      <c r="S37" s="3">
        <f t="shared" si="14"/>
        <v>-4.9455797013796641</v>
      </c>
      <c r="T37" s="3">
        <f t="shared" si="15"/>
        <v>0.19752794627001363</v>
      </c>
      <c r="U37" s="3">
        <f t="shared" si="3"/>
        <v>0.59258383881004084</v>
      </c>
      <c r="V37" s="3">
        <f t="shared" si="4"/>
        <v>9.4813414209606535</v>
      </c>
      <c r="W37" s="3">
        <f t="shared" si="16"/>
        <v>59.258383881004086</v>
      </c>
      <c r="X37" s="3"/>
      <c r="Y37" s="3">
        <v>230</v>
      </c>
      <c r="Z37">
        <f t="shared" si="5"/>
        <v>3.04175E-2</v>
      </c>
    </row>
    <row r="38" spans="1:26" x14ac:dyDescent="0.25">
      <c r="A38" s="3">
        <v>220</v>
      </c>
      <c r="B38" s="3">
        <f t="shared" si="6"/>
        <v>1.0380394213476949</v>
      </c>
      <c r="C38" s="3">
        <f t="shared" si="7"/>
        <v>-3.5038958184038578E-2</v>
      </c>
      <c r="D38" s="3">
        <f t="shared" si="8"/>
        <v>227.70857080048847</v>
      </c>
      <c r="E38" s="3">
        <f t="shared" si="9"/>
        <v>7.7085708004884737</v>
      </c>
      <c r="F38" s="3">
        <f t="shared" si="17"/>
        <v>221.95523798872219</v>
      </c>
      <c r="G38" s="3">
        <f t="shared" si="11"/>
        <v>1.9552379887221889</v>
      </c>
      <c r="H38" s="3"/>
      <c r="I38" s="3"/>
      <c r="J38" s="3"/>
      <c r="K38" s="3"/>
      <c r="L38" s="3"/>
      <c r="M38" s="3"/>
      <c r="N38" s="3"/>
      <c r="O38" s="3"/>
      <c r="P38" s="3"/>
      <c r="Q38" s="3">
        <f t="shared" si="13"/>
        <v>5.9455797013796623</v>
      </c>
      <c r="R38" s="3">
        <v>240</v>
      </c>
      <c r="S38" s="3">
        <f t="shared" si="14"/>
        <v>-5.9455797013796641</v>
      </c>
      <c r="T38" s="3">
        <f t="shared" si="15"/>
        <v>0.16897704128108465</v>
      </c>
      <c r="U38" s="3">
        <f t="shared" si="3"/>
        <v>0.50693112384325389</v>
      </c>
      <c r="V38" s="3">
        <f t="shared" si="4"/>
        <v>8.1108979814920623</v>
      </c>
      <c r="W38" s="3">
        <f t="shared" si="16"/>
        <v>50.693112384325389</v>
      </c>
      <c r="X38" s="3"/>
      <c r="Y38" s="3">
        <v>240</v>
      </c>
      <c r="Z38">
        <f t="shared" si="5"/>
        <v>3.456E-2</v>
      </c>
    </row>
    <row r="39" spans="1:26" x14ac:dyDescent="0.25">
      <c r="A39" s="3">
        <v>230</v>
      </c>
      <c r="B39" s="3">
        <f t="shared" si="6"/>
        <v>1.0465944581017843</v>
      </c>
      <c r="C39" s="3">
        <f t="shared" si="7"/>
        <v>-4.2742207423226659E-2</v>
      </c>
      <c r="D39" s="3">
        <f t="shared" si="8"/>
        <v>239.83070770734213</v>
      </c>
      <c r="E39" s="3">
        <f t="shared" si="9"/>
        <v>9.8307077073421283</v>
      </c>
      <c r="F39" s="3">
        <f t="shared" si="17"/>
        <v>232.30210809821219</v>
      </c>
      <c r="G39" s="3">
        <f t="shared" si="11"/>
        <v>2.3021080982121873</v>
      </c>
      <c r="H39" s="3"/>
      <c r="I39" s="3"/>
      <c r="J39" s="3"/>
      <c r="K39" s="3"/>
      <c r="L39" s="3"/>
      <c r="M39" s="3"/>
      <c r="N39" s="3"/>
      <c r="O39" s="3"/>
      <c r="P39" s="3"/>
      <c r="Q39" s="3">
        <f t="shared" si="13"/>
        <v>6.9455797013796623</v>
      </c>
      <c r="R39" s="3">
        <v>250</v>
      </c>
      <c r="S39" s="3">
        <f t="shared" si="14"/>
        <v>-6.9455797013796641</v>
      </c>
      <c r="T39" s="3">
        <f t="shared" si="15"/>
        <v>0.14429114624177528</v>
      </c>
      <c r="U39" s="3">
        <f t="shared" si="3"/>
        <v>0.4328734387253258</v>
      </c>
      <c r="V39" s="3">
        <f t="shared" si="4"/>
        <v>6.9259750196052128</v>
      </c>
      <c r="W39" s="3">
        <f t="shared" si="16"/>
        <v>43.287343872532581</v>
      </c>
      <c r="X39" s="3"/>
      <c r="Y39" s="3">
        <v>250</v>
      </c>
      <c r="Z39">
        <f t="shared" si="5"/>
        <v>3.90625E-2</v>
      </c>
    </row>
    <row r="40" spans="1:26" x14ac:dyDescent="0.25">
      <c r="A40" s="3">
        <v>240</v>
      </c>
      <c r="B40" s="3">
        <f t="shared" si="6"/>
        <v>1.0547853383849335</v>
      </c>
      <c r="C40" s="3">
        <f t="shared" si="7"/>
        <v>-5.0058779393920172E-2</v>
      </c>
      <c r="D40" s="3">
        <f t="shared" si="8"/>
        <v>252.01410705454083</v>
      </c>
      <c r="E40" s="3">
        <f t="shared" si="9"/>
        <v>12.01410705454083</v>
      </c>
      <c r="F40" s="3">
        <f t="shared" si="17"/>
        <v>242.56361447861022</v>
      </c>
      <c r="G40" s="3">
        <f t="shared" si="11"/>
        <v>2.5636144786102193</v>
      </c>
      <c r="H40" s="3"/>
      <c r="I40" s="3"/>
      <c r="J40" s="3"/>
      <c r="K40" s="3"/>
      <c r="L40" s="3"/>
      <c r="M40" s="3"/>
      <c r="N40" s="3"/>
      <c r="O40" s="3"/>
      <c r="P40" s="3"/>
      <c r="Q40" s="3">
        <f t="shared" si="13"/>
        <v>7.9455797013796623</v>
      </c>
      <c r="R40" s="3">
        <v>260</v>
      </c>
      <c r="S40" s="3">
        <f t="shared" si="14"/>
        <v>-7.9455797013796641</v>
      </c>
      <c r="T40" s="3">
        <f t="shared" si="15"/>
        <v>0.12345709351539121</v>
      </c>
      <c r="U40" s="3">
        <f t="shared" si="3"/>
        <v>0.37037128054617363</v>
      </c>
      <c r="V40" s="3">
        <f t="shared" si="4"/>
        <v>5.9259404887387781</v>
      </c>
      <c r="W40" s="3">
        <f t="shared" si="16"/>
        <v>37.037128054617362</v>
      </c>
      <c r="X40" s="3"/>
      <c r="Y40" s="3">
        <v>260</v>
      </c>
      <c r="Z40">
        <f t="shared" si="5"/>
        <v>4.394E-2</v>
      </c>
    </row>
    <row r="41" spans="1:26" x14ac:dyDescent="0.25">
      <c r="A41" s="3">
        <v>250</v>
      </c>
      <c r="B41" s="3">
        <f t="shared" si="6"/>
        <v>1.0626418021852049</v>
      </c>
      <c r="C41" s="3">
        <f t="shared" si="7"/>
        <v>-5.702344155798434E-2</v>
      </c>
      <c r="D41" s="3">
        <f t="shared" si="8"/>
        <v>264.25586038949609</v>
      </c>
      <c r="E41" s="3">
        <f t="shared" si="9"/>
        <v>14.255860389496092</v>
      </c>
      <c r="F41" s="3">
        <f t="shared" si="17"/>
        <v>252.72992013519141</v>
      </c>
      <c r="G41" s="3">
        <f t="shared" si="11"/>
        <v>2.7299201351914064</v>
      </c>
      <c r="H41" s="3"/>
      <c r="I41" s="3"/>
      <c r="J41" s="3"/>
      <c r="K41" s="3"/>
      <c r="L41" s="3"/>
      <c r="M41" s="3"/>
      <c r="N41" s="3"/>
      <c r="O41" s="3"/>
      <c r="P41" s="3"/>
      <c r="Q41" s="3">
        <f t="shared" si="13"/>
        <v>8.9455797013796623</v>
      </c>
      <c r="R41" s="3">
        <v>270</v>
      </c>
      <c r="S41" s="3">
        <f t="shared" si="14"/>
        <v>-8.9455797013796641</v>
      </c>
      <c r="T41" s="3">
        <f t="shared" si="15"/>
        <v>0.10608270225417582</v>
      </c>
      <c r="U41" s="3">
        <f t="shared" si="3"/>
        <v>0.31824810676252746</v>
      </c>
      <c r="V41" s="3">
        <f t="shared" si="4"/>
        <v>5.0919697082004394</v>
      </c>
      <c r="W41" s="3">
        <f t="shared" si="16"/>
        <v>31.824810676252746</v>
      </c>
      <c r="X41" s="3"/>
      <c r="Y41" s="3">
        <v>270</v>
      </c>
      <c r="Z41">
        <f t="shared" si="5"/>
        <v>4.9207500000000001E-2</v>
      </c>
    </row>
    <row r="42" spans="1:26" x14ac:dyDescent="0.25">
      <c r="A42" s="3">
        <v>260</v>
      </c>
      <c r="B42" s="3">
        <f t="shared" ref="B42:B50" si="18">LOG(A42,$D$13)</f>
        <v>1.0701900887579419</v>
      </c>
      <c r="C42" s="3">
        <f t="shared" ref="C42:C50" si="19">LOG(B42,$D$13)/LOG($F$13,$D$13)</f>
        <v>-6.36665752224089E-2</v>
      </c>
      <c r="D42" s="3">
        <f t="shared" ref="D42:D50" si="20">A42-(A42*C42)</f>
        <v>276.55330955782631</v>
      </c>
      <c r="E42" s="3">
        <f t="shared" ref="E42:E50" si="21">D42-A42</f>
        <v>16.55330955782631</v>
      </c>
      <c r="F42" s="3">
        <f t="shared" ref="F42:F50" si="22">IF(C42&lt;0,D42-POWER(E42*$G$14,B42),A42-(A42*C42))</f>
        <v>262.7918680258353</v>
      </c>
      <c r="G42" s="3">
        <f t="shared" ref="G42:G50" si="23">F42-A42</f>
        <v>2.7918680258352992</v>
      </c>
      <c r="H42" s="3"/>
      <c r="I42" s="3"/>
      <c r="J42" s="3"/>
      <c r="K42" s="3"/>
      <c r="L42" s="3"/>
      <c r="M42" s="3"/>
      <c r="N42" s="3"/>
      <c r="O42" s="3"/>
      <c r="P42" s="3"/>
      <c r="Q42" s="3">
        <f t="shared" si="13"/>
        <v>9.9455797013796623</v>
      </c>
      <c r="R42" s="3">
        <v>280</v>
      </c>
      <c r="S42" s="3">
        <f t="shared" si="14"/>
        <v>-9.9455797013796641</v>
      </c>
      <c r="T42" s="3">
        <f t="shared" si="15"/>
        <v>9.1656386526829156E-2</v>
      </c>
      <c r="U42" s="3">
        <f t="shared" si="3"/>
        <v>0.27496915958048745</v>
      </c>
      <c r="V42" s="3">
        <f t="shared" si="4"/>
        <v>4.3995065532877993</v>
      </c>
      <c r="W42" s="3">
        <f t="shared" si="16"/>
        <v>27.496915958048746</v>
      </c>
      <c r="X42" s="3"/>
      <c r="Y42" s="3">
        <v>280</v>
      </c>
      <c r="Z42">
        <f t="shared" si="5"/>
        <v>5.4879999999999998E-2</v>
      </c>
    </row>
    <row r="43" spans="1:26" x14ac:dyDescent="0.25">
      <c r="A43" s="3">
        <v>270</v>
      </c>
      <c r="B43" s="3">
        <f t="shared" si="18"/>
        <v>1.0774534653786136</v>
      </c>
      <c r="C43" s="3">
        <f t="shared" si="19"/>
        <v>-7.0014875199364141E-2</v>
      </c>
      <c r="D43" s="3">
        <f t="shared" si="20"/>
        <v>288.90401630382831</v>
      </c>
      <c r="E43" s="3">
        <f t="shared" si="21"/>
        <v>18.904016303828314</v>
      </c>
      <c r="F43" s="3">
        <f t="shared" si="22"/>
        <v>272.74079321965411</v>
      </c>
      <c r="G43" s="3">
        <f t="shared" si="23"/>
        <v>2.7407932196541083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290</v>
      </c>
      <c r="S43" s="3">
        <f t="shared" si="14"/>
        <v>-10.945579701379664</v>
      </c>
      <c r="T43" s="3">
        <f t="shared" si="15"/>
        <v>7.9674285753888449E-2</v>
      </c>
      <c r="U43" s="3">
        <f t="shared" si="3"/>
        <v>0.23902285726166533</v>
      </c>
      <c r="V43" s="3">
        <f t="shared" si="4"/>
        <v>3.8243657161866453</v>
      </c>
      <c r="W43" s="3">
        <f t="shared" si="16"/>
        <v>23.902285726166532</v>
      </c>
      <c r="X43" s="3"/>
      <c r="Y43" s="3">
        <v>290</v>
      </c>
      <c r="Z43">
        <f t="shared" si="5"/>
        <v>6.0972499999999999E-2</v>
      </c>
    </row>
    <row r="44" spans="1:26" x14ac:dyDescent="0.25">
      <c r="A44" s="3">
        <v>280</v>
      </c>
      <c r="B44" s="3">
        <f t="shared" si="18"/>
        <v>1.0844526598885209</v>
      </c>
      <c r="C44" s="3">
        <f t="shared" si="19"/>
        <v>-7.6091916274570237E-2</v>
      </c>
      <c r="D44" s="3">
        <f t="shared" si="20"/>
        <v>301.30573655687965</v>
      </c>
      <c r="E44" s="3">
        <f t="shared" si="21"/>
        <v>21.305736556879651</v>
      </c>
      <c r="F44" s="3">
        <f t="shared" si="22"/>
        <v>282.56840344587562</v>
      </c>
      <c r="G44" s="3">
        <f t="shared" si="23"/>
        <v>2.5684034458756173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300</v>
      </c>
      <c r="S44" s="3">
        <f t="shared" si="14"/>
        <v>-11.945579701379664</v>
      </c>
      <c r="T44" s="3">
        <f t="shared" si="15"/>
        <v>6.969142873204355E-2</v>
      </c>
      <c r="U44" s="3">
        <f t="shared" si="3"/>
        <v>0.20907428619613067</v>
      </c>
      <c r="V44" s="3">
        <f t="shared" si="4"/>
        <v>3.3451885791380906</v>
      </c>
      <c r="W44" s="3">
        <f t="shared" si="16"/>
        <v>20.907428619613068</v>
      </c>
      <c r="X44" s="3"/>
      <c r="Y44" s="3">
        <v>300</v>
      </c>
      <c r="Z44">
        <f t="shared" si="5"/>
        <v>6.7500000000000004E-2</v>
      </c>
    </row>
    <row r="45" spans="1:26" x14ac:dyDescent="0.25">
      <c r="A45" s="3">
        <v>290</v>
      </c>
      <c r="B45" s="3">
        <f t="shared" si="18"/>
        <v>1.0912062173038548</v>
      </c>
      <c r="C45" s="3">
        <f t="shared" si="19"/>
        <v>-8.1918615653081242E-2</v>
      </c>
      <c r="D45" s="3">
        <f t="shared" si="20"/>
        <v>313.75639853939356</v>
      </c>
      <c r="E45" s="3">
        <f t="shared" si="21"/>
        <v>23.756398539393558</v>
      </c>
      <c r="F45" s="3">
        <f t="shared" si="22"/>
        <v>292.26669792086744</v>
      </c>
      <c r="G45" s="3">
        <f t="shared" si="23"/>
        <v>2.2666979208674434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310</v>
      </c>
      <c r="S45" s="3">
        <f t="shared" si="14"/>
        <v>-12.945579701379664</v>
      </c>
      <c r="T45" s="3">
        <f t="shared" si="15"/>
        <v>6.1334971812148344E-2</v>
      </c>
      <c r="U45" s="3">
        <f t="shared" si="3"/>
        <v>0.18400491543644504</v>
      </c>
      <c r="V45" s="3">
        <f t="shared" si="4"/>
        <v>2.9440786469831206</v>
      </c>
      <c r="W45" s="3">
        <f t="shared" si="16"/>
        <v>18.400491543644502</v>
      </c>
      <c r="X45" s="3"/>
      <c r="Y45" s="3">
        <v>310</v>
      </c>
      <c r="Z45">
        <f t="shared" si="5"/>
        <v>7.4477500000000002E-2</v>
      </c>
    </row>
    <row r="46" spans="1:26" x14ac:dyDescent="0.25">
      <c r="A46" s="3">
        <v>300</v>
      </c>
      <c r="B46" s="3">
        <f t="shared" si="18"/>
        <v>1.097730795944442</v>
      </c>
      <c r="C46" s="3">
        <f t="shared" si="19"/>
        <v>-8.7513613385911238E-2</v>
      </c>
      <c r="D46" s="3">
        <f t="shared" si="20"/>
        <v>326.2540840157734</v>
      </c>
      <c r="E46" s="3">
        <f t="shared" si="21"/>
        <v>26.254084015773401</v>
      </c>
      <c r="F46" s="3">
        <f t="shared" si="22"/>
        <v>301.82790933132202</v>
      </c>
      <c r="G46" s="3">
        <f t="shared" si="23"/>
        <v>1.8279093313220187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320</v>
      </c>
      <c r="S46" s="3">
        <f t="shared" si="14"/>
        <v>-13.945579701379664</v>
      </c>
      <c r="T46" s="3">
        <f t="shared" si="15"/>
        <v>5.4300793293355805E-2</v>
      </c>
      <c r="U46" s="3">
        <f t="shared" si="3"/>
        <v>0.16290237988006742</v>
      </c>
      <c r="V46" s="3">
        <f t="shared" si="4"/>
        <v>2.6064380780810787</v>
      </c>
      <c r="W46" s="3">
        <f t="shared" si="16"/>
        <v>16.290237988006741</v>
      </c>
      <c r="X46" s="3"/>
      <c r="Y46" s="3">
        <v>320</v>
      </c>
      <c r="Z46">
        <f t="shared" si="5"/>
        <v>8.1920000000000007E-2</v>
      </c>
    </row>
    <row r="47" spans="1:26" x14ac:dyDescent="0.25">
      <c r="A47" s="3">
        <v>310</v>
      </c>
      <c r="B47" s="3">
        <f t="shared" si="18"/>
        <v>1.1040414149882598</v>
      </c>
      <c r="C47" s="3">
        <f t="shared" si="19"/>
        <v>-9.2893587553899051E-2</v>
      </c>
      <c r="D47" s="3">
        <f t="shared" si="20"/>
        <v>338.79701214170871</v>
      </c>
      <c r="E47" s="3">
        <f t="shared" si="21"/>
        <v>28.797012141708706</v>
      </c>
      <c r="F47" s="3">
        <f t="shared" si="22"/>
        <v>311.24446069769743</v>
      </c>
      <c r="G47" s="3">
        <f t="shared" si="23"/>
        <v>1.2444606976974342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330</v>
      </c>
      <c r="S47" s="3">
        <f t="shared" si="14"/>
        <v>-14.945579701379664</v>
      </c>
      <c r="T47" s="3">
        <f t="shared" si="15"/>
        <v>4.8344113434799378E-2</v>
      </c>
      <c r="U47" s="3">
        <f t="shared" si="3"/>
        <v>0.14503234030439813</v>
      </c>
      <c r="V47" s="3">
        <f t="shared" si="4"/>
        <v>2.32051744487037</v>
      </c>
      <c r="W47" s="3">
        <f t="shared" si="16"/>
        <v>14.503234030439813</v>
      </c>
      <c r="X47" s="3"/>
      <c r="Y47" s="3">
        <v>330</v>
      </c>
      <c r="Z47">
        <f t="shared" si="5"/>
        <v>8.9842500000000006E-2</v>
      </c>
    </row>
    <row r="48" spans="1:26" x14ac:dyDescent="0.25">
      <c r="A48" s="3">
        <v>320</v>
      </c>
      <c r="B48" s="3">
        <f t="shared" si="18"/>
        <v>1.110151662709999</v>
      </c>
      <c r="C48" s="3">
        <f t="shared" si="19"/>
        <v>-9.8073517127185539E-2</v>
      </c>
      <c r="D48" s="3">
        <f t="shared" si="20"/>
        <v>351.38352548069935</v>
      </c>
      <c r="E48" s="3">
        <f t="shared" si="21"/>
        <v>31.383525480699348</v>
      </c>
      <c r="F48" s="3">
        <f t="shared" si="22"/>
        <v>320.50893227393072</v>
      </c>
      <c r="G48" s="3">
        <f t="shared" si="23"/>
        <v>0.50893227393072493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v>340</v>
      </c>
      <c r="S48" s="3">
        <f t="shared" si="14"/>
        <v>-15.945579701379664</v>
      </c>
      <c r="T48" s="3">
        <f t="shared" si="15"/>
        <v>4.3269016443408852E-2</v>
      </c>
      <c r="U48" s="3">
        <f t="shared" si="3"/>
        <v>0.12980704933022655</v>
      </c>
      <c r="V48" s="3">
        <f t="shared" si="4"/>
        <v>2.0769127892836248</v>
      </c>
      <c r="W48" s="3">
        <f t="shared" si="16"/>
        <v>12.980704933022654</v>
      </c>
      <c r="X48" s="3"/>
      <c r="Y48" s="3">
        <v>340</v>
      </c>
      <c r="Z48">
        <f t="shared" si="5"/>
        <v>9.826E-2</v>
      </c>
    </row>
    <row r="49" spans="1:24" x14ac:dyDescent="0.25">
      <c r="A49" s="3">
        <v>330</v>
      </c>
      <c r="B49" s="3">
        <f t="shared" si="18"/>
        <v>1.1160738726664405</v>
      </c>
      <c r="C49" s="3">
        <f t="shared" si="19"/>
        <v>-0.10306690253983614</v>
      </c>
      <c r="D49" s="3">
        <f t="shared" si="20"/>
        <v>364.01207783814596</v>
      </c>
      <c r="E49" s="3">
        <f t="shared" si="21"/>
        <v>34.012077838145956</v>
      </c>
      <c r="F49" s="3">
        <f t="shared" si="22"/>
        <v>329.61403548993468</v>
      </c>
      <c r="G49" s="3">
        <f t="shared" si="23"/>
        <v>-0.38596451006532106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3">
        <v>340</v>
      </c>
      <c r="B50" s="3">
        <f t="shared" si="18"/>
        <v>1.1218192735728059</v>
      </c>
      <c r="C50" s="3">
        <f t="shared" si="19"/>
        <v>-0.10788595184903359</v>
      </c>
      <c r="D50" s="3">
        <f t="shared" si="20"/>
        <v>376.68122362867143</v>
      </c>
      <c r="E50" s="3">
        <f t="shared" si="21"/>
        <v>36.681223628671432</v>
      </c>
      <c r="F50" s="3">
        <f t="shared" si="22"/>
        <v>338.55259200184685</v>
      </c>
      <c r="G50" s="3">
        <f t="shared" si="23"/>
        <v>-1.4474079981531531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 algorithmName="SHA-512" hashValue="QQk/lqrupqzrz2w3CJJI/FXSCgZ95xab1jAbqaE3XPWBqAvuKfJbJy1LGKg9J5u2rcYDxaa1z3KiOZiPTMoo2A==" saltValue="cKMWCEqqpjcmqlqsCwjgoA==" spinCount="100000" sheet="1" selectLockedCells="1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2016-10-30T23:19:31Z</dcterms:created>
  <dcterms:modified xsi:type="dcterms:W3CDTF">2017-06-27T13:01:50Z</dcterms:modified>
</cp:coreProperties>
</file>